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dogplaza/Desktop/"/>
    </mc:Choice>
  </mc:AlternateContent>
  <xr:revisionPtr revIDLastSave="0" documentId="8_{8951DF25-C51D-1F4F-8F61-95F06AF83DC7}" xr6:coauthVersionLast="36" xr6:coauthVersionMax="36" xr10:uidLastSave="{00000000-0000-0000-0000-000000000000}"/>
  <bookViews>
    <workbookView xWindow="0" yWindow="460" windowWidth="28800" windowHeight="16520" tabRatio="686" activeTab="4" xr2:uid="{00000000-000D-0000-FFFF-FFFF00000000}"/>
  </bookViews>
  <sheets>
    <sheet name="Januari" sheetId="4" r:id="rId1"/>
    <sheet name="Februari" sheetId="5" r:id="rId2"/>
    <sheet name="Maart" sheetId="17" r:id="rId3"/>
    <sheet name="April" sheetId="18" r:id="rId4"/>
    <sheet name="Mei" sheetId="19" r:id="rId5"/>
    <sheet name="Juni" sheetId="20" r:id="rId6"/>
    <sheet name="Juli" sheetId="21" r:id="rId7"/>
    <sheet name="Augustus" sheetId="22" r:id="rId8"/>
    <sheet name="September" sheetId="23" r:id="rId9"/>
    <sheet name="Oktober" sheetId="24" r:id="rId10"/>
    <sheet name="November" sheetId="25" r:id="rId11"/>
    <sheet name="December" sheetId="15" r:id="rId12"/>
    <sheet name="Werknemersnamen" sheetId="16" r:id="rId13"/>
  </sheets>
  <definedNames>
    <definedName name="_xlnm.Print_Titles" localSheetId="3">April!$4:$6</definedName>
    <definedName name="_xlnm.Print_Titles" localSheetId="7">Augustus!$4:$6</definedName>
    <definedName name="_xlnm.Print_Titles" localSheetId="11">December!$4:$6</definedName>
    <definedName name="_xlnm.Print_Titles" localSheetId="1">Februari!$4:$6</definedName>
    <definedName name="_xlnm.Print_Titles" localSheetId="0">Januari!$4:$6</definedName>
    <definedName name="_xlnm.Print_Titles" localSheetId="6">Juli!$4:$6</definedName>
    <definedName name="_xlnm.Print_Titles" localSheetId="5">Juni!$4:$6</definedName>
    <definedName name="_xlnm.Print_Titles" localSheetId="2">Maart!$4:$6</definedName>
    <definedName name="_xlnm.Print_Titles" localSheetId="4">Mei!$4:$6</definedName>
    <definedName name="_xlnm.Print_Titles" localSheetId="10">November!$4:$6</definedName>
    <definedName name="_xlnm.Print_Titles" localSheetId="9">Oktober!$4:$6</definedName>
    <definedName name="_xlnm.Print_Titles" localSheetId="8">September!$4:$6</definedName>
    <definedName name="CalendarYear">Januari!$AH$4</definedName>
    <definedName name="ColumnTitle13">WerknemerNaam[[#Headers],[Werknemersnamen]]</definedName>
    <definedName name="Employee_Absence_Title">Januari!$B$1</definedName>
    <definedName name="Key_name">Januari!$B$2</definedName>
    <definedName name="KeyCustom1">Januari!$N$2</definedName>
    <definedName name="KeyCustom1Label">Januari!$O$2</definedName>
    <definedName name="KeyCustom2">Januari!$R$2</definedName>
    <definedName name="KeyCustom2Label">Januari!$S$2</definedName>
    <definedName name="KeyPersonal">Januari!$G$2</definedName>
    <definedName name="KeyPersonalLabel">Januari!$H$2</definedName>
    <definedName name="KeySick">Januari!$K$2</definedName>
    <definedName name="KeySickLabel">Januari!$L$2</definedName>
    <definedName name="KeyVacation">Januari!$C$2</definedName>
    <definedName name="KeyVacationLabel">Januari!$D$2</definedName>
    <definedName name="MonthName" localSheetId="3">April!$B$4</definedName>
    <definedName name="MonthName" localSheetId="7">Augustus!$B$4</definedName>
    <definedName name="MonthName" localSheetId="11">December!$B$4</definedName>
    <definedName name="MonthName" localSheetId="1">Februari!$B$4</definedName>
    <definedName name="MonthName" localSheetId="0">Januari!$B$4</definedName>
    <definedName name="MonthName" localSheetId="6">Juli!$B$4</definedName>
    <definedName name="MonthName" localSheetId="5">Juni!$B$4</definedName>
    <definedName name="MonthName" localSheetId="2">Maart!$B$4</definedName>
    <definedName name="MonthName" localSheetId="4">Mei!$B$4</definedName>
    <definedName name="MonthName" localSheetId="10">November!$B$4</definedName>
    <definedName name="MonthName" localSheetId="9">Oktober!$B$4</definedName>
    <definedName name="MonthName" localSheetId="8">September!$B$4</definedName>
    <definedName name="Titel1">Januari[[#Headers],[Naam van werknemer]]</definedName>
    <definedName name="Titel10">Oktober[[#Headers],[Naam van werknemer]]</definedName>
    <definedName name="Titel11">November[[#Headers],[Naam van werknemer]]</definedName>
    <definedName name="Titel12">December[[#Headers],[Naam van werknemer]]</definedName>
    <definedName name="Titel2">Februari[[#Headers],[Naam van werknemer]]</definedName>
    <definedName name="Titel3">Maart[[#Headers],[Naam van werknemer]]</definedName>
    <definedName name="Titel4">April[[#Headers],[Naam van werknemer]]</definedName>
    <definedName name="Titel5">Mei[[#Headers],[Naam van werknemer]]</definedName>
    <definedName name="Titel6">Juni[[#Headers],[Naam van werknemer]]</definedName>
    <definedName name="Titel7">Juli[[#Headers],[Naam van werknemer]]</definedName>
    <definedName name="Titel8">Augustus[[#Headers],[Naam van werknemer]]</definedName>
    <definedName name="Titel9">September[[#Headers],[Naam van werknemer]]</definedName>
  </definedNames>
  <calcPr calcId="181029"/>
</workbook>
</file>

<file path=xl/calcChain.xml><?xml version="1.0" encoding="utf-8"?>
<calcChain xmlns="http://schemas.openxmlformats.org/spreadsheetml/2006/main">
  <c r="B12" i="15" l="1"/>
  <c r="B12" i="25"/>
  <c r="B12" i="24"/>
  <c r="B12" i="23"/>
  <c r="B12" i="22"/>
  <c r="B12" i="21"/>
  <c r="B12" i="20"/>
  <c r="B12" i="19"/>
  <c r="B12" i="18"/>
  <c r="B12" i="17"/>
  <c r="B12" i="5"/>
  <c r="B12" i="4"/>
  <c r="AH7" i="25" l="1"/>
  <c r="AH8" i="25"/>
  <c r="AH9" i="25"/>
  <c r="AH10" i="25"/>
  <c r="AH11" i="25"/>
  <c r="AH7" i="23"/>
  <c r="AH8" i="23"/>
  <c r="AH9" i="23"/>
  <c r="AH10" i="23"/>
  <c r="AH11" i="23"/>
  <c r="AH7" i="20"/>
  <c r="AH8" i="20"/>
  <c r="AH9" i="20"/>
  <c r="AH10" i="20"/>
  <c r="AH11" i="20"/>
  <c r="AH7" i="18"/>
  <c r="AH8" i="18"/>
  <c r="AH9" i="18"/>
  <c r="AH10" i="18"/>
  <c r="AH11" i="18"/>
  <c r="AD12" i="15"/>
  <c r="AE12" i="15"/>
  <c r="AF12" i="15"/>
  <c r="AG12" i="15"/>
  <c r="AE12" i="25"/>
  <c r="AF12" i="25"/>
  <c r="AG12" i="25"/>
  <c r="AE12" i="24"/>
  <c r="AF12" i="24"/>
  <c r="AG12" i="24"/>
  <c r="AE12" i="23"/>
  <c r="AF12" i="23"/>
  <c r="AG12" i="23"/>
  <c r="AF12" i="22"/>
  <c r="AG12" i="22"/>
  <c r="AF12" i="21"/>
  <c r="AG12" i="21"/>
  <c r="AF12" i="20"/>
  <c r="AG12" i="20"/>
  <c r="AF12" i="19"/>
  <c r="AG12" i="19"/>
  <c r="AG12" i="18"/>
  <c r="AF12" i="18"/>
  <c r="AF12" i="17"/>
  <c r="AG12" i="17"/>
  <c r="AF5" i="25" l="1"/>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AH11" i="24"/>
  <c r="AH10" i="24"/>
  <c r="AH9" i="24"/>
  <c r="AH8" i="24"/>
  <c r="AH7"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2" i="23"/>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AH11" i="22"/>
  <c r="AH10" i="22"/>
  <c r="AH9" i="22"/>
  <c r="AH8" i="22"/>
  <c r="AH7"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H11" i="21"/>
  <c r="AH10" i="21"/>
  <c r="AH9" i="21"/>
  <c r="AH8" i="21"/>
  <c r="AH7" i="2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AH11" i="19"/>
  <c r="AH10" i="19"/>
  <c r="AH9" i="19"/>
  <c r="AH8" i="19"/>
  <c r="AH7"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AH12" i="18"/>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AH11" i="17"/>
  <c r="AH10" i="17"/>
  <c r="AH9" i="17"/>
  <c r="AH8" i="17"/>
  <c r="AH7" i="17"/>
  <c r="AH4" i="17"/>
  <c r="B1" i="17"/>
  <c r="B1" i="15"/>
  <c r="B1" i="5"/>
  <c r="AH12" i="21" l="1"/>
  <c r="AH12" i="17"/>
  <c r="AH12" i="22"/>
  <c r="AH12" i="25"/>
  <c r="AH12" i="20"/>
  <c r="AH12" i="19"/>
  <c r="AH12" i="24"/>
  <c r="AB5" i="5"/>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7" i="15" l="1"/>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H11" i="5" l="1"/>
  <c r="AH10" i="5"/>
  <c r="AH9"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E5" i="5"/>
  <c r="AD5" i="5"/>
  <c r="AC5" i="5"/>
  <c r="AA5" i="5"/>
  <c r="Z5" i="5"/>
  <c r="Y5" i="5"/>
  <c r="X5" i="5"/>
  <c r="W5" i="5"/>
  <c r="V5" i="5"/>
  <c r="U5" i="5"/>
  <c r="T5" i="5"/>
  <c r="S5" i="5"/>
  <c r="R5" i="5"/>
  <c r="Q5" i="5"/>
  <c r="P5" i="5"/>
  <c r="O5" i="5"/>
  <c r="N5" i="5"/>
  <c r="M5" i="5"/>
  <c r="L5" i="5"/>
  <c r="K5" i="5"/>
  <c r="J5" i="5"/>
  <c r="I5" i="5"/>
  <c r="H5" i="5"/>
  <c r="G5" i="5"/>
  <c r="F5" i="5"/>
  <c r="E5" i="5"/>
  <c r="D5" i="5"/>
  <c r="C5" i="5"/>
  <c r="AH12" i="5" l="1"/>
  <c r="AH7" i="4"/>
  <c r="AH12" i="4" l="1"/>
  <c r="AE5" i="4"/>
  <c r="AA5" i="4"/>
  <c r="W5" i="4"/>
  <c r="O5" i="4"/>
  <c r="G5" i="4"/>
  <c r="AD5" i="4"/>
  <c r="Z5" i="4"/>
  <c r="R5" i="4"/>
  <c r="N5" i="4"/>
  <c r="F5" i="4"/>
  <c r="M5" i="4"/>
  <c r="AG5" i="4"/>
  <c r="AC5" i="4"/>
  <c r="Y5" i="4"/>
  <c r="S5" i="4"/>
  <c r="K5" i="4"/>
  <c r="E5" i="4"/>
  <c r="AF5" i="4"/>
  <c r="AB5" i="4"/>
  <c r="X5" i="4"/>
  <c r="T5" i="4"/>
  <c r="P5" i="4"/>
  <c r="L5" i="4"/>
  <c r="H5" i="4"/>
  <c r="D5" i="4"/>
  <c r="Q5" i="4"/>
  <c r="I5" i="4"/>
  <c r="C5" i="4"/>
  <c r="V5" i="4"/>
  <c r="J5" i="4"/>
  <c r="U5" i="4"/>
</calcChain>
</file>

<file path=xl/sharedStrings.xml><?xml version="1.0" encoding="utf-8"?>
<sst xmlns="http://schemas.openxmlformats.org/spreadsheetml/2006/main" count="1142" uniqueCount="73">
  <si>
    <t>Sleutel afwezigheidstype</t>
  </si>
  <si>
    <t>Januari</t>
  </si>
  <si>
    <t>Naam van werknemer</t>
  </si>
  <si>
    <t>V</t>
  </si>
  <si>
    <t>1</t>
  </si>
  <si>
    <t>Vakantie</t>
  </si>
  <si>
    <t>2</t>
  </si>
  <si>
    <t>3</t>
  </si>
  <si>
    <t>4</t>
  </si>
  <si>
    <t>Z</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</si>
  <si>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</si>
  <si>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</si>
  <si>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</si>
  <si>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</si>
  <si>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</si>
  <si>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</si>
  <si>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</si>
  <si>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</si>
  <si>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</si>
  <si>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</si>
  <si>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</si>
  <si>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</si>
  <si>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</si>
  <si>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</si>
  <si>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</si>
  <si>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</si>
  <si>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</si>
  <si>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</si>
  <si>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</si>
  <si>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</si>
  <si>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</si>
  <si>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</si>
  <si>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</si>
  <si>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</si>
  <si>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</si>
  <si>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</si>
  <si>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</si>
  <si>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Voer het jaar in:</t>
  </si>
  <si>
    <t>Totaal aantal dagen</t>
  </si>
  <si>
    <t>Februari</t>
  </si>
  <si>
    <t xml:space="preserve"> </t>
  </si>
  <si>
    <t xml:space="preserve">  </t>
  </si>
  <si>
    <t>Maart</t>
  </si>
  <si>
    <t>April</t>
  </si>
  <si>
    <t>Juni</t>
  </si>
  <si>
    <t>Juli</t>
  </si>
  <si>
    <t>Augustus</t>
  </si>
  <si>
    <t>september</t>
  </si>
  <si>
    <t>Oktober</t>
  </si>
  <si>
    <t>November</t>
  </si>
  <si>
    <t>December</t>
  </si>
  <si>
    <t>Werknemersnamen</t>
  </si>
  <si>
    <t>Mei</t>
  </si>
  <si>
    <t>Liesbeth</t>
  </si>
  <si>
    <t>Jeannette</t>
  </si>
  <si>
    <t>Bianca</t>
  </si>
  <si>
    <t>Sandra</t>
  </si>
  <si>
    <t>v</t>
  </si>
  <si>
    <t>Aanwezig</t>
  </si>
  <si>
    <t>A</t>
  </si>
  <si>
    <t>Standby</t>
  </si>
  <si>
    <t>F</t>
  </si>
  <si>
    <t>Feestdag</t>
  </si>
  <si>
    <t>f</t>
  </si>
  <si>
    <t>S</t>
  </si>
  <si>
    <t>aanwezig</t>
  </si>
  <si>
    <t>PLANNING TRAINERS</t>
  </si>
  <si>
    <t>BETEKENIS</t>
  </si>
  <si>
    <t>Nienke</t>
  </si>
  <si>
    <t>Aanwezigheidsplanning DogPlaza</t>
  </si>
  <si>
    <t>Geen les</t>
  </si>
  <si>
    <t>Geen Les</t>
  </si>
  <si>
    <t>Stand-by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</si>
</sst>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0;0;"/>
    <numFmt numFmtId="165" formatCode="_-&quot;kr&quot;\ * #,##0.00_-;\-&quot;kr&quot;\ * #,##0.00_-;_-&quot;kr&quot;\ * &quot;-&quot;??_-;_-@_-"/>
    <numFmt numFmtId="166" formatCode="_-&quot;kr&quot;\ * #,##0_-;\-&quot;kr&quot;\ * #,##0_-;_-&quot;kr&quot;\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4">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79998168889431442"/>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7" tint="0.59999389629810485"/>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vertical="center"/>
    </xf>
    <xf numFmtId="0" fontId="6" fillId="0" borderId="0" applyNumberFormat="0" applyFill="0" applyBorder="0" applyProtection="0">
      <alignment vertical="top"/>
    </xf>
    <xf numFmtId="0" fontId="4" fillId="0" borderId="0" applyNumberFormat="0" applyFill="0" applyBorder="0" applyProtection="0">
      <alignment vertical="top"/>
    </xf>
    <xf numFmtId="0" fontId="5" fillId="2" borderId="0" applyNumberFormat="0" applyBorder="0" applyProtection="0">
      <alignment horizontal="center" vertical="center"/>
    </xf>
    <xf numFmtId="0" fontId="2" fillId="20" borderId="0" applyNumberFormat="0" applyProtection="0">
      <alignment horizontal="right" vertical="center" indent="1"/>
    </xf>
    <xf numFmtId="0" fontId="1" fillId="0" borderId="0" applyNumberFormat="0" applyFill="0" applyBorder="0" applyProtection="0">
      <alignment horizontal="left" vertical="center" indent="2"/>
    </xf>
    <xf numFmtId="0" fontId="3"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3"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3"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7" fillId="0" borderId="0">
      <alignment horizontal="center"/>
    </xf>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9" fillId="21" borderId="0" applyNumberFormat="0" applyBorder="0" applyAlignment="0" applyProtection="0"/>
    <xf numFmtId="0" fontId="10" fillId="22" borderId="0" applyNumberFormat="0" applyBorder="0" applyAlignment="0" applyProtection="0"/>
    <xf numFmtId="0" fontId="11" fillId="23" borderId="0" applyNumberFormat="0" applyBorder="0" applyAlignment="0" applyProtection="0"/>
    <xf numFmtId="0" fontId="12" fillId="24" borderId="1" applyNumberFormat="0" applyAlignment="0" applyProtection="0"/>
    <xf numFmtId="0" fontId="13" fillId="25" borderId="2" applyNumberFormat="0" applyAlignment="0" applyProtection="0"/>
    <xf numFmtId="0" fontId="14" fillId="25" borderId="1" applyNumberFormat="0" applyAlignment="0" applyProtection="0"/>
    <xf numFmtId="0" fontId="15" fillId="0" borderId="3" applyNumberFormat="0" applyFill="0" applyAlignment="0" applyProtection="0"/>
    <xf numFmtId="0" fontId="16" fillId="26" borderId="4" applyNumberFormat="0" applyAlignment="0" applyProtection="0"/>
    <xf numFmtId="0" fontId="17" fillId="0" borderId="0" applyNumberFormat="0" applyFill="0" applyBorder="0" applyAlignment="0" applyProtection="0"/>
    <xf numFmtId="0" fontId="1" fillId="27" borderId="5" applyNumberFormat="0" applyFont="0" applyAlignment="0" applyProtection="0"/>
    <xf numFmtId="0" fontId="18" fillId="0" borderId="0" applyNumberForma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alignment horizontal="left" vertical="center"/>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2" fillId="10" borderId="0" xfId="19" applyAlignment="1" applyProtection="1">
      <alignment horizontal="center" vertical="center"/>
    </xf>
    <xf numFmtId="0" fontId="2" fillId="13" borderId="0" xfId="23" applyFont="1" applyAlignment="1" applyProtection="1">
      <alignment horizontal="center" vertical="center"/>
    </xf>
    <xf numFmtId="164" fontId="2" fillId="9" borderId="0" xfId="8" applyNumberFormat="1" applyFont="1" applyAlignment="1" applyProtection="1">
      <alignment horizontal="center" vertical="center"/>
    </xf>
    <xf numFmtId="164" fontId="2" fillId="14" borderId="0" xfId="24" applyNumberFormat="1" applyFont="1" applyAlignment="1" applyProtection="1">
      <alignment horizontal="center" vertical="center"/>
    </xf>
    <xf numFmtId="0" fontId="1" fillId="0" borderId="0" xfId="26" applyFill="1" applyBorder="1">
      <alignment horizontal="left" vertical="center" wrapText="1" indent="2"/>
    </xf>
    <xf numFmtId="1" fontId="1" fillId="0" borderId="0" xfId="25" applyFill="1" applyBorder="1" applyProtection="1">
      <alignment horizontal="center" vertical="center"/>
    </xf>
    <xf numFmtId="0" fontId="0" fillId="0" borderId="0" xfId="0" applyProtection="1">
      <alignment horizontal="left" vertical="center"/>
    </xf>
    <xf numFmtId="0" fontId="5" fillId="2" borderId="0" xfId="3" applyProtection="1">
      <alignment horizontal="center" vertical="center"/>
    </xf>
    <xf numFmtId="164" fontId="0" fillId="0" borderId="0" xfId="0" applyNumberFormat="1" applyFont="1" applyFill="1" applyBorder="1" applyAlignment="1" applyProtection="1">
      <alignment horizontal="center" vertical="center"/>
    </xf>
    <xf numFmtId="0" fontId="6" fillId="0" borderId="0" xfId="1" applyAlignment="1" applyProtection="1">
      <alignment vertical="top"/>
    </xf>
    <xf numFmtId="0" fontId="1" fillId="2" borderId="0" xfId="21" applyBorder="1" applyAlignment="1" applyProtection="1">
      <alignment horizontal="left" vertical="center" indent="1"/>
    </xf>
    <xf numFmtId="0" fontId="0" fillId="0" borderId="0" xfId="21" applyFont="1" applyFill="1" applyBorder="1" applyAlignment="1" applyProtection="1">
      <alignment horizontal="center" vertical="center"/>
    </xf>
    <xf numFmtId="0" fontId="1" fillId="0" borderId="0" xfId="26" applyFill="1" applyBorder="1" applyProtection="1">
      <alignment horizontal="left" vertical="center" wrapText="1" indent="2"/>
    </xf>
    <xf numFmtId="0" fontId="0" fillId="0" borderId="0" xfId="0" applyAlignment="1" applyProtection="1">
      <alignment horizontal="left" vertical="center" wrapText="1"/>
    </xf>
    <xf numFmtId="0" fontId="2" fillId="20" borderId="0" xfId="4" applyProtection="1">
      <alignment horizontal="right" vertical="center" indent="1"/>
    </xf>
    <xf numFmtId="0" fontId="7" fillId="0" borderId="0" xfId="27" applyProtection="1">
      <alignment horizontal="center"/>
    </xf>
    <xf numFmtId="0" fontId="0" fillId="0" borderId="0" xfId="0" applyFont="1" applyFill="1" applyBorder="1" applyAlignment="1" applyProtection="1">
      <alignment horizontal="left" vertical="center" indent="1"/>
    </xf>
    <xf numFmtId="0" fontId="6" fillId="0" borderId="0" xfId="1">
      <alignment vertical="top"/>
    </xf>
    <xf numFmtId="0" fontId="8" fillId="0" borderId="0" xfId="0" applyFont="1" applyFill="1" applyBorder="1" applyAlignment="1" applyProtection="1">
      <alignment horizontal="center" vertical="center"/>
    </xf>
    <xf numFmtId="0" fontId="0" fillId="0" borderId="0" xfId="26" applyFont="1">
      <alignment horizontal="left" vertical="center" wrapText="1" indent="2"/>
    </xf>
    <xf numFmtId="164" fontId="2" fillId="33" borderId="0" xfId="8" applyNumberFormat="1" applyFont="1" applyFill="1" applyAlignment="1" applyProtection="1">
      <alignment horizontal="center" vertical="center"/>
    </xf>
    <xf numFmtId="0" fontId="0" fillId="33" borderId="0" xfId="0" applyFont="1" applyFill="1" applyBorder="1" applyAlignment="1" applyProtection="1">
      <alignment horizontal="center" vertical="center"/>
    </xf>
    <xf numFmtId="0" fontId="5" fillId="2" borderId="0" xfId="3" applyProtection="1">
      <alignment horizontal="center" vertical="center"/>
    </xf>
    <xf numFmtId="0" fontId="1" fillId="2" borderId="0" xfId="21" applyAlignment="1" applyProtection="1">
      <alignment horizontal="left" vertical="center"/>
    </xf>
    <xf numFmtId="0" fontId="0" fillId="2" borderId="0" xfId="21" applyFont="1" applyAlignment="1" applyProtection="1">
      <alignment horizontal="left" vertical="center"/>
    </xf>
  </cellXfs>
  <cellStyles count="49">
    <cellStyle name="20% - Accent1" xfId="15" builtinId="30" customBuiltin="1"/>
    <cellStyle name="20% - Accent2" xfId="44" builtinId="34" customBuiltin="1"/>
    <cellStyle name="20% - Accent3" xfId="21" builtinId="38" customBuiltin="1"/>
    <cellStyle name="20% - Accent4" xfId="7" builtinId="42" customBuiltin="1"/>
    <cellStyle name="20% - Accent5" xfId="47" builtinId="46"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2" xfId="45" builtinId="36" customBuiltin="1"/>
    <cellStyle name="60% - Accent3" xfId="23" builtinId="40" customBuiltin="1"/>
    <cellStyle name="60% - Accent4" xfId="9" builtinId="44" customBuiltin="1"/>
    <cellStyle name="60% - Accent5" xfId="48" builtinId="48"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5" xfId="46" builtinId="45" customBuiltin="1"/>
    <cellStyle name="Accent6" xfId="10" builtinId="49" customBuiltin="1"/>
    <cellStyle name="Berekening" xfId="38" builtinId="22" customBuiltin="1"/>
    <cellStyle name="Controlecel" xfId="40" builtinId="23" customBuiltin="1"/>
    <cellStyle name="Etiket" xfId="27" xr:uid="{00000000-0005-0000-0000-000018000000}"/>
    <cellStyle name="Gekoppelde cel" xfId="39" builtinId="24" customBuiltin="1"/>
    <cellStyle name="Goed" xfId="33" builtinId="26" customBuiltin="1"/>
    <cellStyle name="Invoer" xfId="36" builtinId="20" customBuiltin="1"/>
    <cellStyle name="Komma" xfId="28" builtinId="3" customBuiltin="1"/>
    <cellStyle name="Komma [0]" xfId="29" builtinId="6" customBuiltin="1"/>
    <cellStyle name="Kop 1" xfId="2" builtinId="16" customBuiltin="1"/>
    <cellStyle name="Kop 2" xfId="3" builtinId="17" customBuiltin="1"/>
    <cellStyle name="Kop 3" xfId="4" builtinId="18" customBuiltin="1"/>
    <cellStyle name="Kop 4" xfId="5" builtinId="19" customBuiltin="1"/>
    <cellStyle name="Neutraal" xfId="35" builtinId="28" customBuiltin="1"/>
    <cellStyle name="Notitie" xfId="42" builtinId="10" customBuiltin="1"/>
    <cellStyle name="Ongeldig" xfId="34" builtinId="27" customBuiltin="1"/>
    <cellStyle name="Procent" xfId="32" builtinId="5" customBuiltin="1"/>
    <cellStyle name="Standaard" xfId="0" builtinId="0" customBuiltin="1"/>
    <cellStyle name="Titel" xfId="1" builtinId="15" customBuiltin="1"/>
    <cellStyle name="Totaal" xfId="25" builtinId="25" customBuiltin="1"/>
    <cellStyle name="Uitvoer" xfId="37" builtinId="21" customBuiltin="1"/>
    <cellStyle name="Valuta" xfId="30" builtinId="4" customBuiltin="1"/>
    <cellStyle name="Valuta [0]" xfId="31" builtinId="7" customBuiltin="1"/>
    <cellStyle name="Verklarende tekst" xfId="43" builtinId="53" customBuiltin="1"/>
    <cellStyle name="Waarschuwingstekst" xfId="41" builtinId="11" customBuiltin="1"/>
    <cellStyle name="Werknemer" xfId="26" xr:uid="{00000000-0005-0000-0000-000013000000}"/>
  </cellStyles>
  <dxfs count="903">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alignment horizontal="left" vertical="center" textRotation="0" wrapText="1" indent="2"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PivotStyle="PivotStyleLight16">
    <tableStyle name="Werknemers Verzuimtabel" pivot="0" count="13" xr9:uid="{00000000-0011-0000-FFFF-FFFF00000000}">
      <tableStyleElement type="wholeTable" dxfId="902"/>
      <tableStyleElement type="headerRow" dxfId="901"/>
      <tableStyleElement type="totalRow" dxfId="900"/>
      <tableStyleElement type="firstColumn" dxfId="899"/>
      <tableStyleElement type="lastColumn" dxfId="898"/>
      <tableStyleElement type="firstRowStripe" dxfId="897"/>
      <tableStyleElement type="secondRowStripe" dxfId="896"/>
      <tableStyleElement type="firstColumnStripe" dxfId="895"/>
      <tableStyleElement type="secondColumnStripe" dxfId="894"/>
      <tableStyleElement type="firstHeaderCell" dxfId="893"/>
      <tableStyleElement type="lastHeaderCell" dxfId="892"/>
      <tableStyleElement type="firstTotalCell" dxfId="891"/>
      <tableStyleElement type="lastTotalCell" dxfId="8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Januari" displayName="Januari" ref="B6:AH12" totalsRowCount="1" headerRowDxfId="884" dataDxfId="883" totalsRowDxfId="882">
  <autoFilter ref="B6:AH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000-000001000000}" name="Naam van werknemer" totalsRowFunction="custom" dataDxfId="881" totalsRowDxfId="880" dataCellStyle="Werknemer">
      <totalsRowFormula>MonthName&amp;" Totaal"</totalsRowFormula>
    </tableColumn>
    <tableColumn id="2" xr3:uid="{00000000-0010-0000-0000-000002000000}" name="1" totalsRowFunction="custom" dataDxfId="879" totalsRowDxfId="878">
      <totalsRowFormula>SUBTOTAL(103,Januari!$C$7:$C$11)</totalsRowFormula>
    </tableColumn>
    <tableColumn id="3" xr3:uid="{00000000-0010-0000-0000-000003000000}" name="2" totalsRowFunction="custom" dataDxfId="877" totalsRowDxfId="876">
      <totalsRowFormula>SUBTOTAL(103,Januari!$D$7:$D$11)</totalsRowFormula>
    </tableColumn>
    <tableColumn id="4" xr3:uid="{00000000-0010-0000-0000-000004000000}" name="3" totalsRowFunction="custom" dataDxfId="875" totalsRowDxfId="874">
      <totalsRowFormula>SUBTOTAL(103,Januari!$E$7:$E$11)</totalsRowFormula>
    </tableColumn>
    <tableColumn id="5" xr3:uid="{00000000-0010-0000-0000-000005000000}" name="4" totalsRowFunction="custom" dataDxfId="873" totalsRowDxfId="872">
      <totalsRowFormula>SUBTOTAL(103,Januari!$F$7:$F$11)</totalsRowFormula>
    </tableColumn>
    <tableColumn id="6" xr3:uid="{00000000-0010-0000-0000-000006000000}" name="5" totalsRowFunction="custom" totalsRowDxfId="871">
      <totalsRowFormula>SUBTOTAL(103,Januari!$G$7:$G$11)</totalsRowFormula>
    </tableColumn>
    <tableColumn id="7" xr3:uid="{00000000-0010-0000-0000-000007000000}" name="6" totalsRowFunction="custom" dataDxfId="870" totalsRowDxfId="869">
      <totalsRowFormula>SUBTOTAL(103,Januari!$H$7:$H$11)</totalsRowFormula>
    </tableColumn>
    <tableColumn id="8" xr3:uid="{00000000-0010-0000-0000-000008000000}" name="7" totalsRowFunction="custom" dataDxfId="868" totalsRowDxfId="867">
      <totalsRowFormula>SUBTOTAL(103,Januari!$I$7:$I$11)</totalsRowFormula>
    </tableColumn>
    <tableColumn id="9" xr3:uid="{00000000-0010-0000-0000-000009000000}" name="8" totalsRowFunction="custom" dataDxfId="866" totalsRowDxfId="865">
      <totalsRowFormula>SUBTOTAL(103,Januari!$J$7:$J$11)</totalsRowFormula>
    </tableColumn>
    <tableColumn id="10" xr3:uid="{00000000-0010-0000-0000-00000A000000}" name="9" totalsRowFunction="custom" dataDxfId="864" totalsRowDxfId="863">
      <totalsRowFormula>SUBTOTAL(103,Januari!$K$7:$K$11)</totalsRowFormula>
    </tableColumn>
    <tableColumn id="11" xr3:uid="{00000000-0010-0000-0000-00000B000000}" name="10" totalsRowFunction="custom" dataDxfId="862" totalsRowDxfId="861">
      <totalsRowFormula>SUBTOTAL(103,Januari!$L$7:$L$11)</totalsRowFormula>
    </tableColumn>
    <tableColumn id="12" xr3:uid="{00000000-0010-0000-0000-00000C000000}" name="11" totalsRowFunction="custom" dataDxfId="860" totalsRowDxfId="859">
      <totalsRowFormula>SUBTOTAL(103,Januari!$M$7:$M$11)</totalsRowFormula>
    </tableColumn>
    <tableColumn id="13" xr3:uid="{00000000-0010-0000-0000-00000D000000}" name="12" totalsRowFunction="custom" dataDxfId="858" totalsRowDxfId="857">
      <totalsRowFormula>SUBTOTAL(103,Januari!$N$7:$N$11)</totalsRowFormula>
    </tableColumn>
    <tableColumn id="14" xr3:uid="{00000000-0010-0000-0000-00000E000000}" name="13" totalsRowFunction="custom" dataDxfId="856" totalsRowDxfId="855">
      <totalsRowFormula>SUBTOTAL(103,Januari!$O$7:$O$11)</totalsRowFormula>
    </tableColumn>
    <tableColumn id="15" xr3:uid="{00000000-0010-0000-0000-00000F000000}" name="14" totalsRowFunction="custom" dataDxfId="854" totalsRowDxfId="853">
      <totalsRowFormula>SUBTOTAL(103,Januari!$P$7:$P$11)</totalsRowFormula>
    </tableColumn>
    <tableColumn id="16" xr3:uid="{00000000-0010-0000-0000-000010000000}" name="15" totalsRowFunction="custom" dataDxfId="852" totalsRowDxfId="851">
      <totalsRowFormula>SUBTOTAL(103,Januari!$Q$7:$Q$11)</totalsRowFormula>
    </tableColumn>
    <tableColumn id="17" xr3:uid="{00000000-0010-0000-0000-000011000000}" name="16" totalsRowFunction="custom" dataDxfId="850" totalsRowDxfId="849">
      <totalsRowFormula>SUBTOTAL(103,Januari!$R$7:$R$11)</totalsRowFormula>
    </tableColumn>
    <tableColumn id="18" xr3:uid="{00000000-0010-0000-0000-000012000000}" name="17" totalsRowFunction="custom" dataDxfId="848" totalsRowDxfId="847">
      <totalsRowFormula>SUBTOTAL(103,Januari!$S$7:$S$11)</totalsRowFormula>
    </tableColumn>
    <tableColumn id="19" xr3:uid="{00000000-0010-0000-0000-000013000000}" name="18" totalsRowFunction="custom" dataDxfId="846" totalsRowDxfId="845">
      <totalsRowFormula>SUBTOTAL(103,Januari!$T$7:$T$11)</totalsRowFormula>
    </tableColumn>
    <tableColumn id="20" xr3:uid="{00000000-0010-0000-0000-000014000000}" name="19" totalsRowFunction="custom" dataDxfId="844" totalsRowDxfId="843">
      <totalsRowFormula>SUBTOTAL(103,Januari!$U$7:$U$11)</totalsRowFormula>
    </tableColumn>
    <tableColumn id="21" xr3:uid="{00000000-0010-0000-0000-000015000000}" name="20" totalsRowFunction="custom" dataDxfId="842" totalsRowDxfId="841">
      <totalsRowFormula>SUBTOTAL(103,Januari!$V$7:$V$11)</totalsRowFormula>
    </tableColumn>
    <tableColumn id="22" xr3:uid="{00000000-0010-0000-0000-000016000000}" name="21" totalsRowFunction="custom" dataDxfId="840" totalsRowDxfId="839">
      <totalsRowFormula>SUBTOTAL(103,Januari!$W$7:$W$11)</totalsRowFormula>
    </tableColumn>
    <tableColumn id="23" xr3:uid="{00000000-0010-0000-0000-000017000000}" name="22" totalsRowFunction="custom" dataDxfId="838" totalsRowDxfId="837">
      <totalsRowFormula>SUBTOTAL(103,Januari!$X$7:$X$11)</totalsRowFormula>
    </tableColumn>
    <tableColumn id="24" xr3:uid="{00000000-0010-0000-0000-000018000000}" name="23" totalsRowFunction="custom" dataDxfId="836" totalsRowDxfId="835">
      <totalsRowFormula>SUBTOTAL(103,Januari!$Y$7:$Y$11)</totalsRowFormula>
    </tableColumn>
    <tableColumn id="25" xr3:uid="{00000000-0010-0000-0000-000019000000}" name="24" totalsRowFunction="custom" dataDxfId="834" totalsRowDxfId="833">
      <totalsRowFormula>SUBTOTAL(103,Januari!$Z$7:$Z$11)</totalsRowFormula>
    </tableColumn>
    <tableColumn id="26" xr3:uid="{00000000-0010-0000-0000-00001A000000}" name="25" totalsRowFunction="custom" dataDxfId="832" totalsRowDxfId="831">
      <totalsRowFormula>SUBTOTAL(103,Januari!$AA$7:$AA$11)</totalsRowFormula>
    </tableColumn>
    <tableColumn id="27" xr3:uid="{00000000-0010-0000-0000-00001B000000}" name="26" totalsRowFunction="custom" dataDxfId="830" totalsRowDxfId="829">
      <totalsRowFormula>SUBTOTAL(103,Januari!$AB$7:$AB$11)</totalsRowFormula>
    </tableColumn>
    <tableColumn id="28" xr3:uid="{00000000-0010-0000-0000-00001C000000}" name="27" totalsRowFunction="custom" dataDxfId="828" totalsRowDxfId="827">
      <totalsRowFormula>SUBTOTAL(103,Januari!$AC$7:$AC$11)</totalsRowFormula>
    </tableColumn>
    <tableColumn id="29" xr3:uid="{00000000-0010-0000-0000-00001D000000}" name="28" totalsRowFunction="custom" dataDxfId="826" totalsRowDxfId="825">
      <totalsRowFormula>SUBTOTAL(103,Januari!$AD$7:$AD$11)</totalsRowFormula>
    </tableColumn>
    <tableColumn id="30" xr3:uid="{00000000-0010-0000-0000-00001E000000}" name="29" totalsRowFunction="custom" dataDxfId="824" totalsRowDxfId="823">
      <totalsRowFormula>SUBTOTAL(103,Januari!$AE$7:$AE$11)</totalsRowFormula>
    </tableColumn>
    <tableColumn id="31" xr3:uid="{00000000-0010-0000-0000-00001F000000}" name="30" totalsRowFunction="custom" dataDxfId="822" totalsRowDxfId="821">
      <totalsRowFormula>SUBTOTAL(103,Januari!$AF$7:$AF$11)</totalsRowFormula>
    </tableColumn>
    <tableColumn id="32" xr3:uid="{00000000-0010-0000-0000-000020000000}" name="31" totalsRowFunction="custom" dataDxfId="820" totalsRowDxfId="819">
      <totalsRowFormula>SUBTOTAL(103,Januari!$AG$7:$AG$11)</totalsRowFormula>
    </tableColumn>
    <tableColumn id="33" xr3:uid="{00000000-0010-0000-0000-000021000000}" name="Totaal aantal dagen" totalsRowFunction="sum" dataDxfId="818" totalsRowDxfId="817" dataCellStyle="Totaal">
      <calculatedColumnFormula>COUNTA(Januari!$C7:$AG7)</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Oktober" displayName="Oktober" ref="B6:AH12" totalsRowCount="1" headerRowDxfId="316" dataDxfId="315" totalsRowDxfId="314">
  <tableColumns count="33">
    <tableColumn id="1" xr3:uid="{00000000-0010-0000-0900-000001000000}" name="Naam van werknemer" totalsRowFunction="custom" dataDxfId="313" totalsRowDxfId="312" dataCellStyle="Werknemer">
      <totalsRowFormula>MonthName&amp;" Totaal"</totalsRowFormula>
    </tableColumn>
    <tableColumn id="2" xr3:uid="{00000000-0010-0000-0900-000002000000}" name="1" totalsRowFunction="count" dataDxfId="311" totalsRowDxfId="310"/>
    <tableColumn id="3" xr3:uid="{00000000-0010-0000-0900-000003000000}" name="2" totalsRowFunction="count" dataDxfId="309" totalsRowDxfId="308"/>
    <tableColumn id="4" xr3:uid="{00000000-0010-0000-0900-000004000000}" name="3" totalsRowFunction="count" dataDxfId="307" totalsRowDxfId="306"/>
    <tableColumn id="5" xr3:uid="{00000000-0010-0000-0900-000005000000}" name="4" totalsRowFunction="count" dataDxfId="305" totalsRowDxfId="304"/>
    <tableColumn id="6" xr3:uid="{00000000-0010-0000-0900-000006000000}" name="5" totalsRowFunction="count" dataDxfId="303" totalsRowDxfId="302"/>
    <tableColumn id="7" xr3:uid="{00000000-0010-0000-0900-000007000000}" name="6" totalsRowFunction="count" dataDxfId="301" totalsRowDxfId="300"/>
    <tableColumn id="8" xr3:uid="{00000000-0010-0000-0900-000008000000}" name="7" totalsRowFunction="count" dataDxfId="299" totalsRowDxfId="298"/>
    <tableColumn id="9" xr3:uid="{00000000-0010-0000-0900-000009000000}" name="8" totalsRowFunction="count" dataDxfId="297" totalsRowDxfId="296"/>
    <tableColumn id="10" xr3:uid="{00000000-0010-0000-0900-00000A000000}" name="9" totalsRowFunction="count" dataDxfId="295" totalsRowDxfId="294"/>
    <tableColumn id="11" xr3:uid="{00000000-0010-0000-0900-00000B000000}" name="10" totalsRowFunction="count" dataDxfId="293" totalsRowDxfId="292"/>
    <tableColumn id="12" xr3:uid="{00000000-0010-0000-0900-00000C000000}" name="11" totalsRowFunction="count" dataDxfId="291" totalsRowDxfId="290"/>
    <tableColumn id="13" xr3:uid="{00000000-0010-0000-0900-00000D000000}" name="12" totalsRowFunction="count" dataDxfId="289" totalsRowDxfId="288"/>
    <tableColumn id="14" xr3:uid="{00000000-0010-0000-0900-00000E000000}" name="13" totalsRowFunction="count" dataDxfId="287" totalsRowDxfId="286"/>
    <tableColumn id="15" xr3:uid="{00000000-0010-0000-0900-00000F000000}" name="14" totalsRowFunction="count" dataDxfId="285" totalsRowDxfId="284"/>
    <tableColumn id="16" xr3:uid="{00000000-0010-0000-0900-000010000000}" name="15" totalsRowFunction="count" dataDxfId="283" totalsRowDxfId="282"/>
    <tableColumn id="17" xr3:uid="{00000000-0010-0000-0900-000011000000}" name="16" totalsRowFunction="count" dataDxfId="281" totalsRowDxfId="280"/>
    <tableColumn id="18" xr3:uid="{00000000-0010-0000-0900-000012000000}" name="17" totalsRowFunction="count" dataDxfId="279" totalsRowDxfId="278"/>
    <tableColumn id="19" xr3:uid="{00000000-0010-0000-0900-000013000000}" name="18" totalsRowFunction="count" dataDxfId="277" totalsRowDxfId="276"/>
    <tableColumn id="20" xr3:uid="{00000000-0010-0000-0900-000014000000}" name="19" totalsRowFunction="count" dataDxfId="275" totalsRowDxfId="274"/>
    <tableColumn id="21" xr3:uid="{00000000-0010-0000-0900-000015000000}" name="20" totalsRowFunction="count" dataDxfId="273" totalsRowDxfId="272"/>
    <tableColumn id="22" xr3:uid="{00000000-0010-0000-0900-000016000000}" name="21" totalsRowFunction="count" dataDxfId="271" totalsRowDxfId="270"/>
    <tableColumn id="23" xr3:uid="{00000000-0010-0000-0900-000017000000}" name="22" totalsRowFunction="count" dataDxfId="269" totalsRowDxfId="268"/>
    <tableColumn id="24" xr3:uid="{00000000-0010-0000-0900-000018000000}" name="23" totalsRowFunction="count" dataDxfId="267" totalsRowDxfId="266"/>
    <tableColumn id="25" xr3:uid="{00000000-0010-0000-0900-000019000000}" name="24" totalsRowFunction="count" dataDxfId="265" totalsRowDxfId="264"/>
    <tableColumn id="26" xr3:uid="{00000000-0010-0000-0900-00001A000000}" name="25" totalsRowFunction="count" dataDxfId="263" totalsRowDxfId="262"/>
    <tableColumn id="27" xr3:uid="{00000000-0010-0000-0900-00001B000000}" name="26" totalsRowFunction="count" dataDxfId="261" totalsRowDxfId="260"/>
    <tableColumn id="28" xr3:uid="{00000000-0010-0000-0900-00001C000000}" name="27" totalsRowFunction="count" dataDxfId="259" totalsRowDxfId="258"/>
    <tableColumn id="29" xr3:uid="{00000000-0010-0000-0900-00001D000000}" name="28" totalsRowFunction="count" dataDxfId="257" totalsRowDxfId="256"/>
    <tableColumn id="30" xr3:uid="{00000000-0010-0000-0900-00001E000000}" name="29" totalsRowFunction="count" dataDxfId="255" totalsRowDxfId="254"/>
    <tableColumn id="31" xr3:uid="{00000000-0010-0000-0900-00001F000000}" name="30" totalsRowFunction="count" dataDxfId="253" totalsRowDxfId="252"/>
    <tableColumn id="32" xr3:uid="{00000000-0010-0000-0900-000020000000}" name="31" totalsRowFunction="count" dataDxfId="251" totalsRowDxfId="250"/>
    <tableColumn id="33" xr3:uid="{00000000-0010-0000-0900-000021000000}" name="Totaal aantal dagen" totalsRowFunction="sum" dataDxfId="249" totalsRowDxfId="248" dataCellStyle="Totaal">
      <calculatedColumnFormula>COUNTA(Oktober[[#This Row],[1]:[31]])</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ovember" displayName="November" ref="B6:AH12" totalsRowCount="1" headerRowDxfId="242" dataDxfId="241" totalsRowDxfId="240">
  <tableColumns count="33">
    <tableColumn id="1" xr3:uid="{00000000-0010-0000-0A00-000001000000}" name="Naam van werknemer" totalsRowFunction="custom" dataDxfId="239" totalsRowDxfId="238" dataCellStyle="Werknemer">
      <totalsRowFormula>MonthName&amp;" Totaal"</totalsRowFormula>
    </tableColumn>
    <tableColumn id="2" xr3:uid="{00000000-0010-0000-0A00-000002000000}" name="1" totalsRowFunction="count" dataDxfId="237" totalsRowDxfId="236"/>
    <tableColumn id="3" xr3:uid="{00000000-0010-0000-0A00-000003000000}" name="2" totalsRowFunction="count" dataDxfId="235" totalsRowDxfId="234"/>
    <tableColumn id="4" xr3:uid="{00000000-0010-0000-0A00-000004000000}" name="3" totalsRowFunction="count" dataDxfId="233" totalsRowDxfId="232"/>
    <tableColumn id="5" xr3:uid="{00000000-0010-0000-0A00-000005000000}" name="4" totalsRowFunction="count" dataDxfId="231" totalsRowDxfId="230"/>
    <tableColumn id="6" xr3:uid="{00000000-0010-0000-0A00-000006000000}" name="5" totalsRowFunction="count" dataDxfId="229" totalsRowDxfId="228"/>
    <tableColumn id="7" xr3:uid="{00000000-0010-0000-0A00-000007000000}" name="6" totalsRowFunction="count" dataDxfId="227" totalsRowDxfId="226"/>
    <tableColumn id="8" xr3:uid="{00000000-0010-0000-0A00-000008000000}" name="7" totalsRowFunction="count" dataDxfId="225" totalsRowDxfId="224"/>
    <tableColumn id="9" xr3:uid="{00000000-0010-0000-0A00-000009000000}" name="8" totalsRowFunction="count" dataDxfId="223" totalsRowDxfId="222"/>
    <tableColumn id="10" xr3:uid="{00000000-0010-0000-0A00-00000A000000}" name="9" totalsRowFunction="count" dataDxfId="221" totalsRowDxfId="220"/>
    <tableColumn id="11" xr3:uid="{00000000-0010-0000-0A00-00000B000000}" name="10" totalsRowFunction="count" dataDxfId="219" totalsRowDxfId="218"/>
    <tableColumn id="12" xr3:uid="{00000000-0010-0000-0A00-00000C000000}" name="11" totalsRowFunction="count" dataDxfId="217" totalsRowDxfId="216"/>
    <tableColumn id="13" xr3:uid="{00000000-0010-0000-0A00-00000D000000}" name="12" totalsRowFunction="count" dataDxfId="215" totalsRowDxfId="214"/>
    <tableColumn id="14" xr3:uid="{00000000-0010-0000-0A00-00000E000000}" name="13" totalsRowFunction="count" dataDxfId="213" totalsRowDxfId="212"/>
    <tableColumn id="15" xr3:uid="{00000000-0010-0000-0A00-00000F000000}" name="14" totalsRowFunction="count" dataDxfId="211" totalsRowDxfId="210"/>
    <tableColumn id="16" xr3:uid="{00000000-0010-0000-0A00-000010000000}" name="15" totalsRowFunction="count" dataDxfId="209" totalsRowDxfId="208"/>
    <tableColumn id="17" xr3:uid="{00000000-0010-0000-0A00-000011000000}" name="16" totalsRowFunction="count" dataDxfId="207" totalsRowDxfId="206"/>
    <tableColumn id="18" xr3:uid="{00000000-0010-0000-0A00-000012000000}" name="17" totalsRowFunction="count" dataDxfId="205" totalsRowDxfId="204"/>
    <tableColumn id="19" xr3:uid="{00000000-0010-0000-0A00-000013000000}" name="18" totalsRowFunction="count" dataDxfId="203" totalsRowDxfId="202"/>
    <tableColumn id="20" xr3:uid="{00000000-0010-0000-0A00-000014000000}" name="19" totalsRowFunction="count" dataDxfId="201" totalsRowDxfId="200"/>
    <tableColumn id="21" xr3:uid="{00000000-0010-0000-0A00-000015000000}" name="20" totalsRowFunction="count" dataDxfId="199" totalsRowDxfId="198"/>
    <tableColumn id="22" xr3:uid="{00000000-0010-0000-0A00-000016000000}" name="21" totalsRowFunction="count" dataDxfId="197" totalsRowDxfId="196"/>
    <tableColumn id="23" xr3:uid="{00000000-0010-0000-0A00-000017000000}" name="22" totalsRowFunction="count" dataDxfId="195" totalsRowDxfId="194"/>
    <tableColumn id="24" xr3:uid="{00000000-0010-0000-0A00-000018000000}" name="23" totalsRowFunction="count" dataDxfId="193" totalsRowDxfId="192"/>
    <tableColumn id="25" xr3:uid="{00000000-0010-0000-0A00-000019000000}" name="24" totalsRowFunction="count" dataDxfId="191" totalsRowDxfId="190"/>
    <tableColumn id="26" xr3:uid="{00000000-0010-0000-0A00-00001A000000}" name="25" totalsRowFunction="count" dataDxfId="189" totalsRowDxfId="188"/>
    <tableColumn id="27" xr3:uid="{00000000-0010-0000-0A00-00001B000000}" name="26" totalsRowFunction="count" dataDxfId="187" totalsRowDxfId="186"/>
    <tableColumn id="28" xr3:uid="{00000000-0010-0000-0A00-00001C000000}" name="27" totalsRowFunction="count" dataDxfId="185" totalsRowDxfId="184"/>
    <tableColumn id="29" xr3:uid="{00000000-0010-0000-0A00-00001D000000}" name="28" totalsRowFunction="count" dataDxfId="183" totalsRowDxfId="182"/>
    <tableColumn id="30" xr3:uid="{00000000-0010-0000-0A00-00001E000000}" name="29" totalsRowFunction="count" dataDxfId="181" totalsRowDxfId="180"/>
    <tableColumn id="31" xr3:uid="{00000000-0010-0000-0A00-00001F000000}" name="30" totalsRowFunction="count" dataDxfId="179" totalsRowDxfId="178"/>
    <tableColumn id="32" xr3:uid="{00000000-0010-0000-0A00-000020000000}" name=" " totalsRowFunction="count" dataDxfId="177" totalsRowDxfId="176"/>
    <tableColumn id="33" xr3:uid="{00000000-0010-0000-0A00-000021000000}" name="Totaal aantal dagen" totalsRowFunction="sum" dataDxfId="175" totalsRowDxfId="174" dataCellStyle="Totaal">
      <calculatedColumnFormula>COUNTA(November[[#This Row],[1]:[30]])</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cember" displayName="December" ref="B6:AH12" totalsRowCount="1" headerRowDxfId="168" dataDxfId="167" totalsRowDxfId="166">
  <tableColumns count="33">
    <tableColumn id="1" xr3:uid="{00000000-0010-0000-0B00-000001000000}" name="Naam van werknemer" totalsRowFunction="custom" dataDxfId="165" totalsRowDxfId="164" dataCellStyle="Werknemer">
      <totalsRowFormula>MonthName&amp;" Totaal"</totalsRowFormula>
    </tableColumn>
    <tableColumn id="2" xr3:uid="{00000000-0010-0000-0B00-000002000000}" name="1" totalsRowFunction="count" dataDxfId="163" totalsRowDxfId="162"/>
    <tableColumn id="3" xr3:uid="{00000000-0010-0000-0B00-000003000000}" name="2" totalsRowFunction="count" dataDxfId="161" totalsRowDxfId="160"/>
    <tableColumn id="4" xr3:uid="{00000000-0010-0000-0B00-000004000000}" name="3" totalsRowFunction="count" dataDxfId="159" totalsRowDxfId="158"/>
    <tableColumn id="5" xr3:uid="{00000000-0010-0000-0B00-000005000000}" name="4" totalsRowFunction="count" dataDxfId="157" totalsRowDxfId="156"/>
    <tableColumn id="6" xr3:uid="{00000000-0010-0000-0B00-000006000000}" name="5" totalsRowFunction="count" dataDxfId="155" totalsRowDxfId="154"/>
    <tableColumn id="7" xr3:uid="{00000000-0010-0000-0B00-000007000000}" name="6" totalsRowFunction="count" dataDxfId="153" totalsRowDxfId="152"/>
    <tableColumn id="8" xr3:uid="{00000000-0010-0000-0B00-000008000000}" name="7" totalsRowFunction="count" dataDxfId="151" totalsRowDxfId="150"/>
    <tableColumn id="9" xr3:uid="{00000000-0010-0000-0B00-000009000000}" name="8" totalsRowFunction="count" dataDxfId="149" totalsRowDxfId="148"/>
    <tableColumn id="10" xr3:uid="{00000000-0010-0000-0B00-00000A000000}" name="9" totalsRowFunction="count" dataDxfId="147" totalsRowDxfId="146"/>
    <tableColumn id="11" xr3:uid="{00000000-0010-0000-0B00-00000B000000}" name="10" totalsRowFunction="count" dataDxfId="145" totalsRowDxfId="144"/>
    <tableColumn id="12" xr3:uid="{00000000-0010-0000-0B00-00000C000000}" name="11" totalsRowFunction="count" dataDxfId="143" totalsRowDxfId="142"/>
    <tableColumn id="13" xr3:uid="{00000000-0010-0000-0B00-00000D000000}" name="12" totalsRowFunction="count" dataDxfId="141" totalsRowDxfId="140"/>
    <tableColumn id="14" xr3:uid="{00000000-0010-0000-0B00-00000E000000}" name="13" totalsRowFunction="count" dataDxfId="139" totalsRowDxfId="138"/>
    <tableColumn id="15" xr3:uid="{00000000-0010-0000-0B00-00000F000000}" name="14" totalsRowFunction="count" dataDxfId="137" totalsRowDxfId="136"/>
    <tableColumn id="16" xr3:uid="{00000000-0010-0000-0B00-000010000000}" name="15" totalsRowFunction="count" dataDxfId="135" totalsRowDxfId="134"/>
    <tableColumn id="17" xr3:uid="{00000000-0010-0000-0B00-000011000000}" name="16" totalsRowFunction="count" dataDxfId="133" totalsRowDxfId="132"/>
    <tableColumn id="18" xr3:uid="{00000000-0010-0000-0B00-000012000000}" name="17" totalsRowFunction="count" dataDxfId="131" totalsRowDxfId="130"/>
    <tableColumn id="19" xr3:uid="{00000000-0010-0000-0B00-000013000000}" name="18" totalsRowFunction="count" dataDxfId="129" totalsRowDxfId="128"/>
    <tableColumn id="20" xr3:uid="{00000000-0010-0000-0B00-000014000000}" name="19" totalsRowFunction="count" dataDxfId="127" totalsRowDxfId="126"/>
    <tableColumn id="21" xr3:uid="{00000000-0010-0000-0B00-000015000000}" name="20" totalsRowFunction="count" dataDxfId="125" totalsRowDxfId="124"/>
    <tableColumn id="22" xr3:uid="{00000000-0010-0000-0B00-000016000000}" name="21" totalsRowFunction="count" dataDxfId="123" totalsRowDxfId="122"/>
    <tableColumn id="23" xr3:uid="{00000000-0010-0000-0B00-000017000000}" name="22" totalsRowFunction="count" dataDxfId="121" totalsRowDxfId="120"/>
    <tableColumn id="24" xr3:uid="{00000000-0010-0000-0B00-000018000000}" name="23" totalsRowFunction="count" dataDxfId="119" totalsRowDxfId="118"/>
    <tableColumn id="25" xr3:uid="{00000000-0010-0000-0B00-000019000000}" name="24" totalsRowFunction="count" dataDxfId="117" totalsRowDxfId="116"/>
    <tableColumn id="26" xr3:uid="{00000000-0010-0000-0B00-00001A000000}" name="25" totalsRowFunction="count" dataDxfId="115" totalsRowDxfId="114"/>
    <tableColumn id="27" xr3:uid="{00000000-0010-0000-0B00-00001B000000}" name="26" totalsRowFunction="count" dataDxfId="113" totalsRowDxfId="112"/>
    <tableColumn id="28" xr3:uid="{00000000-0010-0000-0B00-00001C000000}" name="27" totalsRowFunction="count" dataDxfId="111" totalsRowDxfId="110"/>
    <tableColumn id="29" xr3:uid="{00000000-0010-0000-0B00-00001D000000}" name="28" totalsRowFunction="count" dataDxfId="109" totalsRowDxfId="108"/>
    <tableColumn id="30" xr3:uid="{00000000-0010-0000-0B00-00001E000000}" name="29" totalsRowFunction="count" dataDxfId="107" totalsRowDxfId="106"/>
    <tableColumn id="31" xr3:uid="{00000000-0010-0000-0B00-00001F000000}" name="30" totalsRowFunction="count" dataDxfId="105" totalsRowDxfId="104"/>
    <tableColumn id="32" xr3:uid="{00000000-0010-0000-0B00-000020000000}" name="31" totalsRowFunction="count" dataDxfId="103" totalsRowDxfId="102"/>
    <tableColumn id="33" xr3:uid="{00000000-0010-0000-0B00-000021000000}" name="Totaal aantal dagen" totalsRowFunction="sum" dataDxfId="101" totalsRowDxfId="100" dataCellStyle="Totaal">
      <calculatedColumnFormula>COUNTA(December[[#This Row],[1]:[31]])</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Biedt een lijst met namen en kalenderdatums om de afwezigheid van werknemers en specifiek afwezigheidstype vast te leggen, zoals V=vakantie, Z=ziek, P=persoonlijk en twee tijdelijke aanduidingen voor aangepaste vermeldinge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WerknemerNaam" displayName="WerknemerNaam" ref="B3:B8">
  <autoFilter ref="B3:B8" xr:uid="{00000000-0009-0000-0100-00000D000000}"/>
  <tableColumns count="1">
    <tableColumn id="1" xr3:uid="{00000000-0010-0000-0C00-000001000000}" name="Werknemersnamen" totalsRowFunction="count" totalsRowDxfId="99" dataCellStyle="Werknemer"/>
  </tableColumns>
  <tableStyleInfo name="Werknemers Verzuimtabel" showFirstColumn="1" showLastColumn="1" showRowStripes="1" showColumnStripes="0"/>
  <extLst>
    <ext xmlns:x14="http://schemas.microsoft.com/office/spreadsheetml/2009/9/main" uri="{504A1905-F514-4f6f-8877-14C23A59335A}">
      <x14:table altTextSummary="Voer de werknemersnamen in deze tabel in. Deze namen worden gebruikt als optie in kolom B van de verzuimtabel van elke maan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i" displayName="Februari" ref="B6:AH12" totalsRowCount="1" headerRowDxfId="809" dataDxfId="808" totalsRowDxfId="807">
  <tableColumns count="33">
    <tableColumn id="1" xr3:uid="{00000000-0010-0000-0100-000001000000}" name="Naam van werknemer" totalsRowFunction="custom" dataDxfId="806" totalsRowDxfId="805" dataCellStyle="Werknemer">
      <totalsRowFormula>MonthName&amp;" Totaal"</totalsRowFormula>
    </tableColumn>
    <tableColumn id="2" xr3:uid="{00000000-0010-0000-0100-000002000000}" name="1" totalsRowFunction="count" dataDxfId="804" totalsRowDxfId="803"/>
    <tableColumn id="3" xr3:uid="{00000000-0010-0000-0100-000003000000}" name="2" totalsRowFunction="count" dataDxfId="802" totalsRowDxfId="801"/>
    <tableColumn id="4" xr3:uid="{00000000-0010-0000-0100-000004000000}" name="3" totalsRowFunction="count" dataDxfId="800" totalsRowDxfId="799"/>
    <tableColumn id="5" xr3:uid="{00000000-0010-0000-0100-000005000000}" name="4" totalsRowFunction="count" dataDxfId="798" totalsRowDxfId="797"/>
    <tableColumn id="6" xr3:uid="{00000000-0010-0000-0100-000006000000}" name="5" totalsRowFunction="count" dataDxfId="796" totalsRowDxfId="795"/>
    <tableColumn id="7" xr3:uid="{00000000-0010-0000-0100-000007000000}" name="6" totalsRowFunction="count" dataDxfId="794" totalsRowDxfId="793"/>
    <tableColumn id="8" xr3:uid="{00000000-0010-0000-0100-000008000000}" name="7" totalsRowFunction="count" dataDxfId="792" totalsRowDxfId="791"/>
    <tableColumn id="9" xr3:uid="{00000000-0010-0000-0100-000009000000}" name="8" totalsRowFunction="count" dataDxfId="790" totalsRowDxfId="789"/>
    <tableColumn id="10" xr3:uid="{00000000-0010-0000-0100-00000A000000}" name="9" totalsRowFunction="count" dataDxfId="788" totalsRowDxfId="787"/>
    <tableColumn id="11" xr3:uid="{00000000-0010-0000-0100-00000B000000}" name="10" totalsRowFunction="count" dataDxfId="786" totalsRowDxfId="785"/>
    <tableColumn id="12" xr3:uid="{00000000-0010-0000-0100-00000C000000}" name="11" totalsRowFunction="count" dataDxfId="784" totalsRowDxfId="783"/>
    <tableColumn id="13" xr3:uid="{00000000-0010-0000-0100-00000D000000}" name="12" totalsRowFunction="count" dataDxfId="782" totalsRowDxfId="781"/>
    <tableColumn id="14" xr3:uid="{00000000-0010-0000-0100-00000E000000}" name="13" totalsRowFunction="count" dataDxfId="780" totalsRowDxfId="779"/>
    <tableColumn id="15" xr3:uid="{00000000-0010-0000-0100-00000F000000}" name="14" totalsRowFunction="count" dataDxfId="778" totalsRowDxfId="777"/>
    <tableColumn id="16" xr3:uid="{00000000-0010-0000-0100-000010000000}" name="15" totalsRowFunction="count" dataDxfId="776" totalsRowDxfId="775"/>
    <tableColumn id="17" xr3:uid="{00000000-0010-0000-0100-000011000000}" name="16" totalsRowFunction="count" dataDxfId="774" totalsRowDxfId="773"/>
    <tableColumn id="18" xr3:uid="{00000000-0010-0000-0100-000012000000}" name="17" totalsRowFunction="count" dataDxfId="772" totalsRowDxfId="771"/>
    <tableColumn id="19" xr3:uid="{00000000-0010-0000-0100-000013000000}" name="18" totalsRowFunction="count" dataDxfId="770" totalsRowDxfId="769"/>
    <tableColumn id="20" xr3:uid="{00000000-0010-0000-0100-000014000000}" name="19" totalsRowFunction="count" dataDxfId="768" totalsRowDxfId="767"/>
    <tableColumn id="21" xr3:uid="{00000000-0010-0000-0100-000015000000}" name="20" totalsRowFunction="count" dataDxfId="766" totalsRowDxfId="765"/>
    <tableColumn id="22" xr3:uid="{00000000-0010-0000-0100-000016000000}" name="21" totalsRowFunction="count" dataDxfId="764" totalsRowDxfId="763"/>
    <tableColumn id="23" xr3:uid="{00000000-0010-0000-0100-000017000000}" name="22" totalsRowFunction="count" dataDxfId="762" totalsRowDxfId="761"/>
    <tableColumn id="24" xr3:uid="{00000000-0010-0000-0100-000018000000}" name="23" totalsRowFunction="count" dataDxfId="760" totalsRowDxfId="759"/>
    <tableColumn id="25" xr3:uid="{00000000-0010-0000-0100-000019000000}" name="24" totalsRowFunction="count" dataDxfId="758" totalsRowDxfId="757"/>
    <tableColumn id="26" xr3:uid="{00000000-0010-0000-0100-00001A000000}" name="25" totalsRowFunction="count" dataDxfId="756" totalsRowDxfId="755"/>
    <tableColumn id="27" xr3:uid="{00000000-0010-0000-0100-00001B000000}" name="26" totalsRowFunction="count" dataDxfId="754" totalsRowDxfId="753"/>
    <tableColumn id="28" xr3:uid="{00000000-0010-0000-0100-00001C000000}" name="27" totalsRowFunction="count" dataDxfId="752" totalsRowDxfId="751"/>
    <tableColumn id="29" xr3:uid="{00000000-0010-0000-0100-00001D000000}" name="28" totalsRowFunction="count" dataDxfId="750" totalsRowDxfId="749"/>
    <tableColumn id="30" xr3:uid="{00000000-0010-0000-0100-00001E000000}" name="29" totalsRowFunction="count" dataDxfId="748" totalsRowDxfId="747"/>
    <tableColumn id="31" xr3:uid="{00000000-0010-0000-0100-00001F000000}" name=" " dataDxfId="746" totalsRowDxfId="745"/>
    <tableColumn id="32" xr3:uid="{00000000-0010-0000-0100-000020000000}" name="  " dataDxfId="744" totalsRowDxfId="743"/>
    <tableColumn id="33" xr3:uid="{00000000-0010-0000-0100-000021000000}" name="Totaal aantal dagen" totalsRowFunction="sum" dataDxfId="742" totalsRowDxfId="741" dataCellStyle="Totaal">
      <calculatedColumnFormula>COUNTA(Februari[[#This Row],[1]:[29]])</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Maart" displayName="Maart" ref="B6:AH12" totalsRowCount="1" headerRowDxfId="735" dataDxfId="734" totalsRowDxfId="733">
  <tableColumns count="33">
    <tableColumn id="1" xr3:uid="{00000000-0010-0000-0200-000001000000}" name="Naam van werknemer" totalsRowFunction="custom" dataDxfId="732" totalsRowDxfId="98" dataCellStyle="Werknemer">
      <totalsRowFormula>MonthName&amp;" Totaal"</totalsRowFormula>
    </tableColumn>
    <tableColumn id="2" xr3:uid="{00000000-0010-0000-0200-000002000000}" name="1" totalsRowFunction="count" dataDxfId="731" totalsRowDxfId="97"/>
    <tableColumn id="3" xr3:uid="{00000000-0010-0000-0200-000003000000}" name="2" totalsRowFunction="count" dataDxfId="730" totalsRowDxfId="96"/>
    <tableColumn id="4" xr3:uid="{00000000-0010-0000-0200-000004000000}" name="3" totalsRowFunction="count" dataDxfId="729" totalsRowDxfId="95"/>
    <tableColumn id="5" xr3:uid="{00000000-0010-0000-0200-000005000000}" name="4" totalsRowFunction="count" dataDxfId="728" totalsRowDxfId="94"/>
    <tableColumn id="6" xr3:uid="{00000000-0010-0000-0200-000006000000}" name="5" totalsRowFunction="count" dataDxfId="727" totalsRowDxfId="93"/>
    <tableColumn id="7" xr3:uid="{00000000-0010-0000-0200-000007000000}" name="6" totalsRowFunction="count" dataDxfId="726" totalsRowDxfId="92"/>
    <tableColumn id="8" xr3:uid="{00000000-0010-0000-0200-000008000000}" name="7" totalsRowFunction="count" dataDxfId="725" totalsRowDxfId="91"/>
    <tableColumn id="9" xr3:uid="{00000000-0010-0000-0200-000009000000}" name="8" totalsRowFunction="count" dataDxfId="724" totalsRowDxfId="90"/>
    <tableColumn id="10" xr3:uid="{00000000-0010-0000-0200-00000A000000}" name="9" totalsRowFunction="count" dataDxfId="723" totalsRowDxfId="89"/>
    <tableColumn id="11" xr3:uid="{00000000-0010-0000-0200-00000B000000}" name="10" totalsRowFunction="count" dataDxfId="722" totalsRowDxfId="88"/>
    <tableColumn id="12" xr3:uid="{00000000-0010-0000-0200-00000C000000}" name="11" totalsRowFunction="count" dataDxfId="721" totalsRowDxfId="87"/>
    <tableColumn id="13" xr3:uid="{00000000-0010-0000-0200-00000D000000}" name="12" totalsRowFunction="count" dataDxfId="720" totalsRowDxfId="86"/>
    <tableColumn id="14" xr3:uid="{00000000-0010-0000-0200-00000E000000}" name="13" totalsRowFunction="count" dataDxfId="719" totalsRowDxfId="85"/>
    <tableColumn id="15" xr3:uid="{00000000-0010-0000-0200-00000F000000}" name="14" totalsRowFunction="count" dataDxfId="718" totalsRowDxfId="84"/>
    <tableColumn id="16" xr3:uid="{00000000-0010-0000-0200-000010000000}" name="15" totalsRowFunction="count" dataDxfId="717" totalsRowDxfId="83"/>
    <tableColumn id="17" xr3:uid="{00000000-0010-0000-0200-000011000000}" name="16" totalsRowFunction="count" dataDxfId="716" totalsRowDxfId="82"/>
    <tableColumn id="18" xr3:uid="{00000000-0010-0000-0200-000012000000}" name="17" totalsRowFunction="count" dataDxfId="715" totalsRowDxfId="81"/>
    <tableColumn id="19" xr3:uid="{00000000-0010-0000-0200-000013000000}" name="18" totalsRowFunction="count" dataDxfId="714" totalsRowDxfId="80"/>
    <tableColumn id="20" xr3:uid="{00000000-0010-0000-0200-000014000000}" name="19" totalsRowFunction="count" dataDxfId="713" totalsRowDxfId="79"/>
    <tableColumn id="21" xr3:uid="{00000000-0010-0000-0200-000015000000}" name="20" totalsRowFunction="count" dataDxfId="712" totalsRowDxfId="78"/>
    <tableColumn id="22" xr3:uid="{00000000-0010-0000-0200-000016000000}" name="21" totalsRowFunction="count" dataDxfId="711" totalsRowDxfId="77"/>
    <tableColumn id="23" xr3:uid="{00000000-0010-0000-0200-000017000000}" name="22" totalsRowFunction="count" dataDxfId="710" totalsRowDxfId="76"/>
    <tableColumn id="24" xr3:uid="{00000000-0010-0000-0200-000018000000}" name="23" totalsRowFunction="count" dataDxfId="709" totalsRowDxfId="75"/>
    <tableColumn id="25" xr3:uid="{00000000-0010-0000-0200-000019000000}" name="24" totalsRowFunction="count" dataDxfId="708" totalsRowDxfId="74"/>
    <tableColumn id="26" xr3:uid="{00000000-0010-0000-0200-00001A000000}" name="25" totalsRowFunction="count" dataDxfId="707" totalsRowDxfId="73"/>
    <tableColumn id="27" xr3:uid="{00000000-0010-0000-0200-00001B000000}" name="26" totalsRowFunction="count" dataDxfId="706" totalsRowDxfId="72"/>
    <tableColumn id="28" xr3:uid="{00000000-0010-0000-0200-00001C000000}" name="27" totalsRowFunction="count" dataDxfId="705" totalsRowDxfId="71"/>
    <tableColumn id="29" xr3:uid="{00000000-0010-0000-0200-00001D000000}" name="28" totalsRowFunction="count" dataDxfId="704" totalsRowDxfId="70"/>
    <tableColumn id="30" xr3:uid="{00000000-0010-0000-0200-00001E000000}" name="29" totalsRowFunction="count" dataDxfId="703" totalsRowDxfId="69"/>
    <tableColumn id="31" xr3:uid="{00000000-0010-0000-0200-00001F000000}" name="30" totalsRowFunction="count" dataDxfId="702" totalsRowDxfId="68"/>
    <tableColumn id="32" xr3:uid="{00000000-0010-0000-0200-000020000000}" name="31" totalsRowFunction="count" dataDxfId="701" totalsRowDxfId="67"/>
    <tableColumn id="33" xr3:uid="{00000000-0010-0000-0200-000021000000}" name="Totaal aantal dagen" totalsRowFunction="sum" dataDxfId="700" totalsRowDxfId="66" dataCellStyle="Totaal">
      <calculatedColumnFormula>COUNTA(Maart[[#This Row],[1]:[31]])</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April" displayName="April" ref="B6:AH12" totalsRowCount="1" headerRowDxfId="694" dataDxfId="693" totalsRowDxfId="692">
  <tableColumns count="33">
    <tableColumn id="1" xr3:uid="{00000000-0010-0000-0300-000001000000}" name="Naam van werknemer" totalsRowFunction="custom" dataDxfId="691" totalsRowDxfId="65" dataCellStyle="Werknemer">
      <totalsRowFormula>MonthName&amp;" Totaal"</totalsRowFormula>
    </tableColumn>
    <tableColumn id="2" xr3:uid="{00000000-0010-0000-0300-000002000000}" name="1" totalsRowFunction="count" dataDxfId="690" totalsRowDxfId="64"/>
    <tableColumn id="3" xr3:uid="{00000000-0010-0000-0300-000003000000}" name="2" totalsRowFunction="count" dataDxfId="689" totalsRowDxfId="63"/>
    <tableColumn id="4" xr3:uid="{00000000-0010-0000-0300-000004000000}" name="3" totalsRowFunction="count" dataDxfId="688" totalsRowDxfId="62"/>
    <tableColumn id="5" xr3:uid="{00000000-0010-0000-0300-000005000000}" name="4" totalsRowFunction="count" dataDxfId="687" totalsRowDxfId="61"/>
    <tableColumn id="6" xr3:uid="{00000000-0010-0000-0300-000006000000}" name="5" totalsRowFunction="count" dataDxfId="686" totalsRowDxfId="60"/>
    <tableColumn id="7" xr3:uid="{00000000-0010-0000-0300-000007000000}" name="6" totalsRowFunction="count" dataDxfId="685" totalsRowDxfId="59"/>
    <tableColumn id="8" xr3:uid="{00000000-0010-0000-0300-000008000000}" name="7" totalsRowFunction="count" dataDxfId="684" totalsRowDxfId="58"/>
    <tableColumn id="9" xr3:uid="{00000000-0010-0000-0300-000009000000}" name="8" totalsRowFunction="count" dataDxfId="683" totalsRowDxfId="57"/>
    <tableColumn id="10" xr3:uid="{00000000-0010-0000-0300-00000A000000}" name="9" totalsRowFunction="count" dataDxfId="682" totalsRowDxfId="56"/>
    <tableColumn id="11" xr3:uid="{00000000-0010-0000-0300-00000B000000}" name="10" totalsRowFunction="count" dataDxfId="681" totalsRowDxfId="55"/>
    <tableColumn id="12" xr3:uid="{00000000-0010-0000-0300-00000C000000}" name="11" totalsRowFunction="count" dataDxfId="680" totalsRowDxfId="54"/>
    <tableColumn id="13" xr3:uid="{00000000-0010-0000-0300-00000D000000}" name="12" totalsRowFunction="count" dataDxfId="679" totalsRowDxfId="53"/>
    <tableColumn id="14" xr3:uid="{00000000-0010-0000-0300-00000E000000}" name="13" totalsRowFunction="count" dataDxfId="678" totalsRowDxfId="52"/>
    <tableColumn id="15" xr3:uid="{00000000-0010-0000-0300-00000F000000}" name="14" totalsRowFunction="count" dataDxfId="677" totalsRowDxfId="51"/>
    <tableColumn id="16" xr3:uid="{00000000-0010-0000-0300-000010000000}" name="15" totalsRowFunction="count" dataDxfId="676" totalsRowDxfId="50"/>
    <tableColumn id="17" xr3:uid="{00000000-0010-0000-0300-000011000000}" name="16" totalsRowFunction="count" dataDxfId="675" totalsRowDxfId="49"/>
    <tableColumn id="18" xr3:uid="{00000000-0010-0000-0300-000012000000}" name="17" totalsRowFunction="count" dataDxfId="674" totalsRowDxfId="48"/>
    <tableColumn id="19" xr3:uid="{00000000-0010-0000-0300-000013000000}" name="18" totalsRowFunction="count" dataDxfId="673" totalsRowDxfId="47"/>
    <tableColumn id="20" xr3:uid="{00000000-0010-0000-0300-000014000000}" name="19" totalsRowFunction="count" dataDxfId="672" totalsRowDxfId="46"/>
    <tableColumn id="21" xr3:uid="{00000000-0010-0000-0300-000015000000}" name="20" totalsRowFunction="count" dataDxfId="671" totalsRowDxfId="45"/>
    <tableColumn id="22" xr3:uid="{00000000-0010-0000-0300-000016000000}" name="21" totalsRowFunction="count" dataDxfId="670" totalsRowDxfId="44"/>
    <tableColumn id="23" xr3:uid="{00000000-0010-0000-0300-000017000000}" name="22" totalsRowFunction="count" dataDxfId="669" totalsRowDxfId="43"/>
    <tableColumn id="24" xr3:uid="{00000000-0010-0000-0300-000018000000}" name="23" totalsRowFunction="count" dataDxfId="668" totalsRowDxfId="42"/>
    <tableColumn id="25" xr3:uid="{00000000-0010-0000-0300-000019000000}" name="24" totalsRowFunction="count" dataDxfId="667" totalsRowDxfId="41"/>
    <tableColumn id="26" xr3:uid="{00000000-0010-0000-0300-00001A000000}" name="25" totalsRowFunction="count" dataDxfId="666" totalsRowDxfId="40"/>
    <tableColumn id="27" xr3:uid="{00000000-0010-0000-0300-00001B000000}" name="26" totalsRowFunction="count" dataDxfId="665" totalsRowDxfId="39"/>
    <tableColumn id="28" xr3:uid="{00000000-0010-0000-0300-00001C000000}" name="27" totalsRowFunction="count" dataDxfId="664" totalsRowDxfId="38"/>
    <tableColumn id="29" xr3:uid="{00000000-0010-0000-0300-00001D000000}" name="28" totalsRowFunction="count" dataDxfId="663" totalsRowDxfId="37"/>
    <tableColumn id="30" xr3:uid="{00000000-0010-0000-0300-00001E000000}" name="29" totalsRowFunction="count" dataDxfId="662" totalsRowDxfId="36"/>
    <tableColumn id="31" xr3:uid="{00000000-0010-0000-0300-00001F000000}" name="30" totalsRowFunction="count" dataDxfId="661" totalsRowDxfId="35"/>
    <tableColumn id="32" xr3:uid="{00000000-0010-0000-0300-000020000000}" name=" " totalsRowFunction="custom" dataDxfId="660" totalsRowDxfId="34">
      <totalsRowFormula>SUBTOTAL(103,April[30])</totalsRowFormula>
    </tableColumn>
    <tableColumn id="33" xr3:uid="{00000000-0010-0000-0300-000021000000}" name="Totaal aantal dagen" totalsRowFunction="sum" dataDxfId="659" totalsRowDxfId="33" dataCellStyle="Totaal">
      <calculatedColumnFormula>COUNTA(April[[#This Row],[1]:[30]])</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Mei" displayName="Mei" ref="B6:AH12" totalsRowCount="1" headerRowDxfId="653" dataDxfId="652" totalsRowDxfId="651">
  <tableColumns count="33">
    <tableColumn id="1" xr3:uid="{00000000-0010-0000-0400-000001000000}" name="Naam van werknemer" totalsRowFunction="custom" dataDxfId="650" totalsRowDxfId="32" dataCellStyle="Werknemer">
      <totalsRowFormula>MonthName&amp;" Totaal"</totalsRowFormula>
    </tableColumn>
    <tableColumn id="2" xr3:uid="{00000000-0010-0000-0400-000002000000}" name="1" totalsRowFunction="count" dataDxfId="649" totalsRowDxfId="31"/>
    <tableColumn id="3" xr3:uid="{00000000-0010-0000-0400-000003000000}" name="2" totalsRowFunction="count" dataDxfId="648" totalsRowDxfId="30"/>
    <tableColumn id="4" xr3:uid="{00000000-0010-0000-0400-000004000000}" name="3" totalsRowFunction="count" dataDxfId="647" totalsRowDxfId="29"/>
    <tableColumn id="5" xr3:uid="{00000000-0010-0000-0400-000005000000}" name="4" totalsRowFunction="count" dataDxfId="646" totalsRowDxfId="28"/>
    <tableColumn id="6" xr3:uid="{00000000-0010-0000-0400-000006000000}" name="5" totalsRowFunction="count" dataDxfId="645" totalsRowDxfId="27"/>
    <tableColumn id="7" xr3:uid="{00000000-0010-0000-0400-000007000000}" name="6" totalsRowFunction="count" dataDxfId="644" totalsRowDxfId="26"/>
    <tableColumn id="8" xr3:uid="{00000000-0010-0000-0400-000008000000}" name="7" totalsRowFunction="count" dataDxfId="643" totalsRowDxfId="25"/>
    <tableColumn id="9" xr3:uid="{00000000-0010-0000-0400-000009000000}" name="8" totalsRowFunction="count" dataDxfId="642" totalsRowDxfId="24"/>
    <tableColumn id="10" xr3:uid="{00000000-0010-0000-0400-00000A000000}" name="9" totalsRowFunction="count" dataDxfId="641" totalsRowDxfId="23"/>
    <tableColumn id="11" xr3:uid="{00000000-0010-0000-0400-00000B000000}" name="10" totalsRowFunction="count" dataDxfId="640" totalsRowDxfId="22"/>
    <tableColumn id="12" xr3:uid="{00000000-0010-0000-0400-00000C000000}" name="11" totalsRowFunction="count" dataDxfId="639" totalsRowDxfId="21"/>
    <tableColumn id="13" xr3:uid="{00000000-0010-0000-0400-00000D000000}" name="12" totalsRowFunction="count" dataDxfId="638" totalsRowDxfId="20"/>
    <tableColumn id="14" xr3:uid="{00000000-0010-0000-0400-00000E000000}" name="13" totalsRowFunction="count" dataDxfId="637" totalsRowDxfId="19"/>
    <tableColumn id="15" xr3:uid="{00000000-0010-0000-0400-00000F000000}" name="14" totalsRowFunction="count" dataDxfId="636" totalsRowDxfId="18"/>
    <tableColumn id="16" xr3:uid="{00000000-0010-0000-0400-000010000000}" name="15" totalsRowFunction="count" dataDxfId="635" totalsRowDxfId="17"/>
    <tableColumn id="17" xr3:uid="{00000000-0010-0000-0400-000011000000}" name="16" totalsRowFunction="count" dataDxfId="634" totalsRowDxfId="16"/>
    <tableColumn id="18" xr3:uid="{00000000-0010-0000-0400-000012000000}" name="17" totalsRowFunction="count" dataDxfId="633" totalsRowDxfId="15"/>
    <tableColumn id="19" xr3:uid="{00000000-0010-0000-0400-000013000000}" name="18" totalsRowFunction="count" dataDxfId="632" totalsRowDxfId="14"/>
    <tableColumn id="20" xr3:uid="{00000000-0010-0000-0400-000014000000}" name="19" totalsRowFunction="count" dataDxfId="631" totalsRowDxfId="13"/>
    <tableColumn id="21" xr3:uid="{00000000-0010-0000-0400-000015000000}" name="20" totalsRowFunction="count" dataDxfId="630" totalsRowDxfId="12"/>
    <tableColumn id="22" xr3:uid="{00000000-0010-0000-0400-000016000000}" name="21" totalsRowFunction="count" dataDxfId="629" totalsRowDxfId="11"/>
    <tableColumn id="23" xr3:uid="{00000000-0010-0000-0400-000017000000}" name="22" totalsRowFunction="count" dataDxfId="628" totalsRowDxfId="10"/>
    <tableColumn id="24" xr3:uid="{00000000-0010-0000-0400-000018000000}" name="23" totalsRowFunction="count" dataDxfId="627" totalsRowDxfId="9"/>
    <tableColumn id="25" xr3:uid="{00000000-0010-0000-0400-000019000000}" name="24" totalsRowFunction="count" dataDxfId="626" totalsRowDxfId="8"/>
    <tableColumn id="26" xr3:uid="{00000000-0010-0000-0400-00001A000000}" name="25" totalsRowFunction="count" dataDxfId="625" totalsRowDxfId="7"/>
    <tableColumn id="27" xr3:uid="{00000000-0010-0000-0400-00001B000000}" name="26" totalsRowFunction="count" dataDxfId="624" totalsRowDxfId="6"/>
    <tableColumn id="28" xr3:uid="{00000000-0010-0000-0400-00001C000000}" name="27" totalsRowFunction="count" dataDxfId="623" totalsRowDxfId="5"/>
    <tableColumn id="29" xr3:uid="{00000000-0010-0000-0400-00001D000000}" name="28" totalsRowFunction="count" dataDxfId="622" totalsRowDxfId="4"/>
    <tableColumn id="30" xr3:uid="{00000000-0010-0000-0400-00001E000000}" name="29" totalsRowFunction="count" dataDxfId="621" totalsRowDxfId="3"/>
    <tableColumn id="31" xr3:uid="{00000000-0010-0000-0400-00001F000000}" name="30" totalsRowFunction="count" dataDxfId="620" totalsRowDxfId="2"/>
    <tableColumn id="32" xr3:uid="{00000000-0010-0000-0400-000020000000}" name="31" totalsRowFunction="count" dataDxfId="619" totalsRowDxfId="1"/>
    <tableColumn id="33" xr3:uid="{00000000-0010-0000-0400-000021000000}" name="Totaal aantal dagen" totalsRowFunction="sum" dataDxfId="618" totalsRowDxfId="0" dataCellStyle="Totaal">
      <calculatedColumnFormula>COUNTA(Mei[[#This Row],[1]:[31]])</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Juni" displayName="Juni" ref="B6:AH12" totalsRowCount="1" headerRowDxfId="612" dataDxfId="611" totalsRowDxfId="610">
  <tableColumns count="33">
    <tableColumn id="1" xr3:uid="{00000000-0010-0000-0500-000001000000}" name="Naam van werknemer" totalsRowFunction="custom" dataDxfId="609" totalsRowDxfId="608" dataCellStyle="Werknemer">
      <totalsRowFormula>MonthName&amp;" Totaal"</totalsRowFormula>
    </tableColumn>
    <tableColumn id="2" xr3:uid="{00000000-0010-0000-0500-000002000000}" name="1" totalsRowFunction="count" dataDxfId="607" totalsRowDxfId="606"/>
    <tableColumn id="3" xr3:uid="{00000000-0010-0000-0500-000003000000}" name="2" totalsRowFunction="count" dataDxfId="605" totalsRowDxfId="604"/>
    <tableColumn id="4" xr3:uid="{00000000-0010-0000-0500-000004000000}" name="3" totalsRowFunction="count" dataDxfId="603" totalsRowDxfId="602"/>
    <tableColumn id="5" xr3:uid="{00000000-0010-0000-0500-000005000000}" name="4" totalsRowFunction="count" dataDxfId="601" totalsRowDxfId="600"/>
    <tableColumn id="6" xr3:uid="{00000000-0010-0000-0500-000006000000}" name="5" totalsRowFunction="count" dataDxfId="599" totalsRowDxfId="598"/>
    <tableColumn id="7" xr3:uid="{00000000-0010-0000-0500-000007000000}" name="6" totalsRowFunction="count" dataDxfId="597" totalsRowDxfId="596"/>
    <tableColumn id="8" xr3:uid="{00000000-0010-0000-0500-000008000000}" name="7" totalsRowFunction="count" dataDxfId="595" totalsRowDxfId="594"/>
    <tableColumn id="9" xr3:uid="{00000000-0010-0000-0500-000009000000}" name="8" totalsRowFunction="count" dataDxfId="593" totalsRowDxfId="592"/>
    <tableColumn id="10" xr3:uid="{00000000-0010-0000-0500-00000A000000}" name="9" totalsRowFunction="count" dataDxfId="591" totalsRowDxfId="590"/>
    <tableColumn id="11" xr3:uid="{00000000-0010-0000-0500-00000B000000}" name="10" totalsRowFunction="count" dataDxfId="589" totalsRowDxfId="588"/>
    <tableColumn id="12" xr3:uid="{00000000-0010-0000-0500-00000C000000}" name="11" totalsRowFunction="count" dataDxfId="587" totalsRowDxfId="586"/>
    <tableColumn id="13" xr3:uid="{00000000-0010-0000-0500-00000D000000}" name="12" totalsRowFunction="count" dataDxfId="585" totalsRowDxfId="584"/>
    <tableColumn id="14" xr3:uid="{00000000-0010-0000-0500-00000E000000}" name="13" totalsRowFunction="count" dataDxfId="583" totalsRowDxfId="582"/>
    <tableColumn id="15" xr3:uid="{00000000-0010-0000-0500-00000F000000}" name="14" totalsRowFunction="count" dataDxfId="581" totalsRowDxfId="580"/>
    <tableColumn id="16" xr3:uid="{00000000-0010-0000-0500-000010000000}" name="15" totalsRowFunction="count" dataDxfId="579" totalsRowDxfId="578"/>
    <tableColumn id="17" xr3:uid="{00000000-0010-0000-0500-000011000000}" name="16" totalsRowFunction="count" dataDxfId="577" totalsRowDxfId="576"/>
    <tableColumn id="18" xr3:uid="{00000000-0010-0000-0500-000012000000}" name="17" totalsRowFunction="count" dataDxfId="575" totalsRowDxfId="574"/>
    <tableColumn id="19" xr3:uid="{00000000-0010-0000-0500-000013000000}" name="18" totalsRowFunction="count" dataDxfId="573" totalsRowDxfId="572"/>
    <tableColumn id="20" xr3:uid="{00000000-0010-0000-0500-000014000000}" name="19" totalsRowFunction="count" dataDxfId="571" totalsRowDxfId="570"/>
    <tableColumn id="21" xr3:uid="{00000000-0010-0000-0500-000015000000}" name="20" totalsRowFunction="count" dataDxfId="569" totalsRowDxfId="568"/>
    <tableColumn id="22" xr3:uid="{00000000-0010-0000-0500-000016000000}" name="21" totalsRowFunction="count" dataDxfId="567" totalsRowDxfId="566"/>
    <tableColumn id="23" xr3:uid="{00000000-0010-0000-0500-000017000000}" name="22" totalsRowFunction="count" dataDxfId="565" totalsRowDxfId="564"/>
    <tableColumn id="24" xr3:uid="{00000000-0010-0000-0500-000018000000}" name="23" totalsRowFunction="count" dataDxfId="563" totalsRowDxfId="562"/>
    <tableColumn id="25" xr3:uid="{00000000-0010-0000-0500-000019000000}" name="24" totalsRowFunction="count" dataDxfId="561" totalsRowDxfId="560"/>
    <tableColumn id="26" xr3:uid="{00000000-0010-0000-0500-00001A000000}" name="25" totalsRowFunction="count" dataDxfId="559" totalsRowDxfId="558"/>
    <tableColumn id="27" xr3:uid="{00000000-0010-0000-0500-00001B000000}" name="26" totalsRowFunction="count" dataDxfId="557" totalsRowDxfId="556"/>
    <tableColumn id="28" xr3:uid="{00000000-0010-0000-0500-00001C000000}" name="27" totalsRowFunction="count" dataDxfId="555" totalsRowDxfId="554"/>
    <tableColumn id="29" xr3:uid="{00000000-0010-0000-0500-00001D000000}" name="28" totalsRowFunction="count" dataDxfId="553" totalsRowDxfId="552"/>
    <tableColumn id="30" xr3:uid="{00000000-0010-0000-0500-00001E000000}" name="29" totalsRowFunction="count" dataDxfId="551" totalsRowDxfId="550"/>
    <tableColumn id="31" xr3:uid="{00000000-0010-0000-0500-00001F000000}" name="30" totalsRowFunction="count" dataDxfId="549" totalsRowDxfId="548"/>
    <tableColumn id="32" xr3:uid="{00000000-0010-0000-0500-000020000000}" name=" " totalsRowFunction="count" dataDxfId="547" totalsRowDxfId="546"/>
    <tableColumn id="33" xr3:uid="{00000000-0010-0000-0500-000021000000}" name="Totaal aantal dagen" totalsRowFunction="sum" dataDxfId="545" totalsRowDxfId="544" dataCellStyle="Totaal">
      <calculatedColumnFormula>COUNTA(Juni[[#This Row],[1]:[30]])</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Juli" displayName="Juli" ref="B6:AH12" totalsRowCount="1" headerRowDxfId="538" dataDxfId="537" totalsRowDxfId="536">
  <tableColumns count="33">
    <tableColumn id="1" xr3:uid="{00000000-0010-0000-0600-000001000000}" name="Naam van werknemer" totalsRowFunction="custom" dataDxfId="535" totalsRowDxfId="534" dataCellStyle="Werknemer">
      <totalsRowFormula>MonthName&amp;" Totaal"</totalsRowFormula>
    </tableColumn>
    <tableColumn id="2" xr3:uid="{00000000-0010-0000-0600-000002000000}" name="1" totalsRowFunction="count" dataDxfId="533" totalsRowDxfId="532"/>
    <tableColumn id="3" xr3:uid="{00000000-0010-0000-0600-000003000000}" name="2" totalsRowFunction="count" dataDxfId="531" totalsRowDxfId="530"/>
    <tableColumn id="4" xr3:uid="{00000000-0010-0000-0600-000004000000}" name="3" totalsRowFunction="count" dataDxfId="529" totalsRowDxfId="528"/>
    <tableColumn id="5" xr3:uid="{00000000-0010-0000-0600-000005000000}" name="4" totalsRowFunction="count" dataDxfId="527" totalsRowDxfId="526"/>
    <tableColumn id="6" xr3:uid="{00000000-0010-0000-0600-000006000000}" name="5" totalsRowFunction="count" dataDxfId="525" totalsRowDxfId="524"/>
    <tableColumn id="7" xr3:uid="{00000000-0010-0000-0600-000007000000}" name="6" totalsRowFunction="count" dataDxfId="523" totalsRowDxfId="522"/>
    <tableColumn id="8" xr3:uid="{00000000-0010-0000-0600-000008000000}" name="7" totalsRowFunction="count" dataDxfId="521" totalsRowDxfId="520"/>
    <tableColumn id="9" xr3:uid="{00000000-0010-0000-0600-000009000000}" name="8" totalsRowFunction="count" dataDxfId="519" totalsRowDxfId="518"/>
    <tableColumn id="10" xr3:uid="{00000000-0010-0000-0600-00000A000000}" name="9" totalsRowFunction="count" dataDxfId="517" totalsRowDxfId="516"/>
    <tableColumn id="11" xr3:uid="{00000000-0010-0000-0600-00000B000000}" name="10" totalsRowFunction="count" dataDxfId="515" totalsRowDxfId="514"/>
    <tableColumn id="12" xr3:uid="{00000000-0010-0000-0600-00000C000000}" name="11" totalsRowFunction="count" dataDxfId="513" totalsRowDxfId="512"/>
    <tableColumn id="13" xr3:uid="{00000000-0010-0000-0600-00000D000000}" name="12" totalsRowFunction="count" dataDxfId="511" totalsRowDxfId="510"/>
    <tableColumn id="14" xr3:uid="{00000000-0010-0000-0600-00000E000000}" name="13" totalsRowFunction="count" dataDxfId="509" totalsRowDxfId="508"/>
    <tableColumn id="15" xr3:uid="{00000000-0010-0000-0600-00000F000000}" name="14" totalsRowFunction="count" dataDxfId="507" totalsRowDxfId="506"/>
    <tableColumn id="16" xr3:uid="{00000000-0010-0000-0600-000010000000}" name="15" totalsRowFunction="count" dataDxfId="505" totalsRowDxfId="504"/>
    <tableColumn id="17" xr3:uid="{00000000-0010-0000-0600-000011000000}" name="16" totalsRowFunction="count" dataDxfId="503" totalsRowDxfId="502"/>
    <tableColumn id="18" xr3:uid="{00000000-0010-0000-0600-000012000000}" name="17" totalsRowFunction="count" dataDxfId="501" totalsRowDxfId="500"/>
    <tableColumn id="19" xr3:uid="{00000000-0010-0000-0600-000013000000}" name="18" totalsRowFunction="count" dataDxfId="499" totalsRowDxfId="498"/>
    <tableColumn id="20" xr3:uid="{00000000-0010-0000-0600-000014000000}" name="19" totalsRowFunction="count" dataDxfId="497" totalsRowDxfId="496"/>
    <tableColumn id="21" xr3:uid="{00000000-0010-0000-0600-000015000000}" name="20" totalsRowFunction="count" dataDxfId="495" totalsRowDxfId="494"/>
    <tableColumn id="22" xr3:uid="{00000000-0010-0000-0600-000016000000}" name="21" totalsRowFunction="count" dataDxfId="493" totalsRowDxfId="492"/>
    <tableColumn id="23" xr3:uid="{00000000-0010-0000-0600-000017000000}" name="22" totalsRowFunction="count" dataDxfId="491" totalsRowDxfId="490"/>
    <tableColumn id="24" xr3:uid="{00000000-0010-0000-0600-000018000000}" name="23" totalsRowFunction="count" dataDxfId="489" totalsRowDxfId="488"/>
    <tableColumn id="25" xr3:uid="{00000000-0010-0000-0600-000019000000}" name="24" totalsRowFunction="count" dataDxfId="487" totalsRowDxfId="486"/>
    <tableColumn id="26" xr3:uid="{00000000-0010-0000-0600-00001A000000}" name="25" totalsRowFunction="count" dataDxfId="485" totalsRowDxfId="484"/>
    <tableColumn id="27" xr3:uid="{00000000-0010-0000-0600-00001B000000}" name="26" totalsRowFunction="count" dataDxfId="483" totalsRowDxfId="482"/>
    <tableColumn id="28" xr3:uid="{00000000-0010-0000-0600-00001C000000}" name="27" totalsRowFunction="count" dataDxfId="481" totalsRowDxfId="480"/>
    <tableColumn id="29" xr3:uid="{00000000-0010-0000-0600-00001D000000}" name="28" totalsRowFunction="count" dataDxfId="479" totalsRowDxfId="478"/>
    <tableColumn id="30" xr3:uid="{00000000-0010-0000-0600-00001E000000}" name="29" totalsRowFunction="count" dataDxfId="477" totalsRowDxfId="476"/>
    <tableColumn id="31" xr3:uid="{00000000-0010-0000-0600-00001F000000}" name="30" totalsRowFunction="count" dataDxfId="475" totalsRowDxfId="474"/>
    <tableColumn id="32" xr3:uid="{00000000-0010-0000-0600-000020000000}" name="31" totalsRowFunction="count" dataDxfId="473" totalsRowDxfId="472"/>
    <tableColumn id="33" xr3:uid="{00000000-0010-0000-0600-000021000000}" name="Totaal aantal dagen" totalsRowFunction="sum" dataDxfId="471" totalsRowDxfId="470" dataCellStyle="Totaal">
      <calculatedColumnFormula>COUNTA(Juli[[#This Row],[1]:[31]])</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Augustus" displayName="Augustus" ref="B6:AH12" totalsRowCount="1" headerRowDxfId="464" dataDxfId="463" totalsRowDxfId="462">
  <tableColumns count="33">
    <tableColumn id="1" xr3:uid="{00000000-0010-0000-0700-000001000000}" name="Naam van werknemer" totalsRowFunction="custom" dataDxfId="461" totalsRowDxfId="460" dataCellStyle="Werknemer">
      <totalsRowFormula>MonthName&amp;" Totaal"</totalsRowFormula>
    </tableColumn>
    <tableColumn id="2" xr3:uid="{00000000-0010-0000-0700-000002000000}" name="1" totalsRowFunction="count" dataDxfId="459" totalsRowDxfId="458"/>
    <tableColumn id="3" xr3:uid="{00000000-0010-0000-0700-000003000000}" name="2" totalsRowFunction="count" dataDxfId="457" totalsRowDxfId="456"/>
    <tableColumn id="4" xr3:uid="{00000000-0010-0000-0700-000004000000}" name="3" totalsRowFunction="count" dataDxfId="455" totalsRowDxfId="454"/>
    <tableColumn id="5" xr3:uid="{00000000-0010-0000-0700-000005000000}" name="4" totalsRowFunction="count" dataDxfId="453" totalsRowDxfId="452"/>
    <tableColumn id="6" xr3:uid="{00000000-0010-0000-0700-000006000000}" name="5" totalsRowFunction="count" dataDxfId="451" totalsRowDxfId="450"/>
    <tableColumn id="7" xr3:uid="{00000000-0010-0000-0700-000007000000}" name="6" totalsRowFunction="count" dataDxfId="449" totalsRowDxfId="448"/>
    <tableColumn id="8" xr3:uid="{00000000-0010-0000-0700-000008000000}" name="7" totalsRowFunction="count" dataDxfId="447" totalsRowDxfId="446"/>
    <tableColumn id="9" xr3:uid="{00000000-0010-0000-0700-000009000000}" name="8" totalsRowFunction="count" dataDxfId="445" totalsRowDxfId="444"/>
    <tableColumn id="10" xr3:uid="{00000000-0010-0000-0700-00000A000000}" name="9" totalsRowFunction="count" dataDxfId="443" totalsRowDxfId="442"/>
    <tableColumn id="11" xr3:uid="{00000000-0010-0000-0700-00000B000000}" name="10" totalsRowFunction="count" dataDxfId="441" totalsRowDxfId="440"/>
    <tableColumn id="12" xr3:uid="{00000000-0010-0000-0700-00000C000000}" name="11" totalsRowFunction="count" dataDxfId="439" totalsRowDxfId="438"/>
    <tableColumn id="13" xr3:uid="{00000000-0010-0000-0700-00000D000000}" name="12" totalsRowFunction="count" dataDxfId="437" totalsRowDxfId="436"/>
    <tableColumn id="14" xr3:uid="{00000000-0010-0000-0700-00000E000000}" name="13" totalsRowFunction="count" dataDxfId="435" totalsRowDxfId="434"/>
    <tableColumn id="15" xr3:uid="{00000000-0010-0000-0700-00000F000000}" name="14" totalsRowFunction="count" dataDxfId="433" totalsRowDxfId="432"/>
    <tableColumn id="16" xr3:uid="{00000000-0010-0000-0700-000010000000}" name="15" totalsRowFunction="count" dataDxfId="431" totalsRowDxfId="430"/>
    <tableColumn id="17" xr3:uid="{00000000-0010-0000-0700-000011000000}" name="16" totalsRowFunction="count" dataDxfId="429" totalsRowDxfId="428"/>
    <tableColumn id="18" xr3:uid="{00000000-0010-0000-0700-000012000000}" name="17" totalsRowFunction="count" dataDxfId="427" totalsRowDxfId="426"/>
    <tableColumn id="19" xr3:uid="{00000000-0010-0000-0700-000013000000}" name="18" totalsRowFunction="count" dataDxfId="425" totalsRowDxfId="424"/>
    <tableColumn id="20" xr3:uid="{00000000-0010-0000-0700-000014000000}" name="19" totalsRowFunction="count" dataDxfId="423" totalsRowDxfId="422"/>
    <tableColumn id="21" xr3:uid="{00000000-0010-0000-0700-000015000000}" name="20" totalsRowFunction="count" dataDxfId="421" totalsRowDxfId="420"/>
    <tableColumn id="22" xr3:uid="{00000000-0010-0000-0700-000016000000}" name="21" totalsRowFunction="count" dataDxfId="419" totalsRowDxfId="418"/>
    <tableColumn id="23" xr3:uid="{00000000-0010-0000-0700-000017000000}" name="22" totalsRowFunction="count" dataDxfId="417" totalsRowDxfId="416"/>
    <tableColumn id="24" xr3:uid="{00000000-0010-0000-0700-000018000000}" name="23" totalsRowFunction="count" dataDxfId="415" totalsRowDxfId="414"/>
    <tableColumn id="25" xr3:uid="{00000000-0010-0000-0700-000019000000}" name="24" totalsRowFunction="count" dataDxfId="413" totalsRowDxfId="412"/>
    <tableColumn id="26" xr3:uid="{00000000-0010-0000-0700-00001A000000}" name="25" totalsRowFunction="count" dataDxfId="411" totalsRowDxfId="410"/>
    <tableColumn id="27" xr3:uid="{00000000-0010-0000-0700-00001B000000}" name="26" totalsRowFunction="count" dataDxfId="409" totalsRowDxfId="408"/>
    <tableColumn id="28" xr3:uid="{00000000-0010-0000-0700-00001C000000}" name="27" totalsRowFunction="count" dataDxfId="407" totalsRowDxfId="406"/>
    <tableColumn id="29" xr3:uid="{00000000-0010-0000-0700-00001D000000}" name="28" totalsRowFunction="count" dataDxfId="405" totalsRowDxfId="404"/>
    <tableColumn id="30" xr3:uid="{00000000-0010-0000-0700-00001E000000}" name="29" totalsRowFunction="count" dataDxfId="403" totalsRowDxfId="402"/>
    <tableColumn id="31" xr3:uid="{00000000-0010-0000-0700-00001F000000}" name="30" totalsRowFunction="count" dataDxfId="401" totalsRowDxfId="400"/>
    <tableColumn id="32" xr3:uid="{00000000-0010-0000-0700-000020000000}" name="31" totalsRowFunction="count" dataDxfId="399" totalsRowDxfId="398"/>
    <tableColumn id="33" xr3:uid="{00000000-0010-0000-0700-000021000000}" name="Totaal aantal dagen" totalsRowFunction="sum" dataDxfId="397" totalsRowDxfId="396" dataCellStyle="Totaal">
      <calculatedColumnFormula>COUNTA(Augustus[[#This Row],[1]:[31]])</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September" displayName="September" ref="B6:AH12" totalsRowCount="1" headerRowDxfId="390" dataDxfId="389" totalsRowDxfId="388">
  <tableColumns count="33">
    <tableColumn id="1" xr3:uid="{00000000-0010-0000-0800-000001000000}" name="Naam van werknemer" totalsRowFunction="custom" dataDxfId="387" totalsRowDxfId="386" dataCellStyle="Werknemer">
      <totalsRowFormula>MonthName&amp;" Totaal"</totalsRowFormula>
    </tableColumn>
    <tableColumn id="2" xr3:uid="{00000000-0010-0000-0800-000002000000}" name="1" totalsRowFunction="count" dataDxfId="385" totalsRowDxfId="384"/>
    <tableColumn id="3" xr3:uid="{00000000-0010-0000-0800-000003000000}" name="2" totalsRowFunction="count" dataDxfId="383" totalsRowDxfId="382"/>
    <tableColumn id="4" xr3:uid="{00000000-0010-0000-0800-000004000000}" name="3" totalsRowFunction="count" dataDxfId="381" totalsRowDxfId="380"/>
    <tableColumn id="5" xr3:uid="{00000000-0010-0000-0800-000005000000}" name="4" totalsRowFunction="count" dataDxfId="379" totalsRowDxfId="378"/>
    <tableColumn id="6" xr3:uid="{00000000-0010-0000-0800-000006000000}" name="5" totalsRowFunction="count" dataDxfId="377" totalsRowDxfId="376"/>
    <tableColumn id="7" xr3:uid="{00000000-0010-0000-0800-000007000000}" name="6" totalsRowFunction="count" dataDxfId="375" totalsRowDxfId="374"/>
    <tableColumn id="8" xr3:uid="{00000000-0010-0000-0800-000008000000}" name="7" totalsRowFunction="count" dataDxfId="373" totalsRowDxfId="372"/>
    <tableColumn id="9" xr3:uid="{00000000-0010-0000-0800-000009000000}" name="8" totalsRowFunction="count" dataDxfId="371" totalsRowDxfId="370"/>
    <tableColumn id="10" xr3:uid="{00000000-0010-0000-0800-00000A000000}" name="9" totalsRowFunction="count" dataDxfId="369" totalsRowDxfId="368"/>
    <tableColumn id="11" xr3:uid="{00000000-0010-0000-0800-00000B000000}" name="10" totalsRowFunction="count" dataDxfId="367" totalsRowDxfId="366"/>
    <tableColumn id="12" xr3:uid="{00000000-0010-0000-0800-00000C000000}" name="11" totalsRowFunction="count" dataDxfId="365" totalsRowDxfId="364"/>
    <tableColumn id="13" xr3:uid="{00000000-0010-0000-0800-00000D000000}" name="12" totalsRowFunction="count" dataDxfId="363" totalsRowDxfId="362"/>
    <tableColumn id="14" xr3:uid="{00000000-0010-0000-0800-00000E000000}" name="13" totalsRowFunction="count" dataDxfId="361" totalsRowDxfId="360"/>
    <tableColumn id="15" xr3:uid="{00000000-0010-0000-0800-00000F000000}" name="14" totalsRowFunction="count" dataDxfId="359" totalsRowDxfId="358"/>
    <tableColumn id="16" xr3:uid="{00000000-0010-0000-0800-000010000000}" name="15" totalsRowFunction="count" dataDxfId="357" totalsRowDxfId="356"/>
    <tableColumn id="17" xr3:uid="{00000000-0010-0000-0800-000011000000}" name="16" totalsRowFunction="count" dataDxfId="355" totalsRowDxfId="354"/>
    <tableColumn id="18" xr3:uid="{00000000-0010-0000-0800-000012000000}" name="17" totalsRowFunction="count" dataDxfId="353" totalsRowDxfId="352"/>
    <tableColumn id="19" xr3:uid="{00000000-0010-0000-0800-000013000000}" name="18" totalsRowFunction="count" dataDxfId="351" totalsRowDxfId="350"/>
    <tableColumn id="20" xr3:uid="{00000000-0010-0000-0800-000014000000}" name="19" totalsRowFunction="count" dataDxfId="349" totalsRowDxfId="348"/>
    <tableColumn id="21" xr3:uid="{00000000-0010-0000-0800-000015000000}" name="20" totalsRowFunction="count" dataDxfId="347" totalsRowDxfId="346"/>
    <tableColumn id="22" xr3:uid="{00000000-0010-0000-0800-000016000000}" name="21" totalsRowFunction="count" dataDxfId="345" totalsRowDxfId="344"/>
    <tableColumn id="23" xr3:uid="{00000000-0010-0000-0800-000017000000}" name="22" totalsRowFunction="count" dataDxfId="343" totalsRowDxfId="342"/>
    <tableColumn id="24" xr3:uid="{00000000-0010-0000-0800-000018000000}" name="23" totalsRowFunction="count" dataDxfId="341" totalsRowDxfId="340"/>
    <tableColumn id="25" xr3:uid="{00000000-0010-0000-0800-000019000000}" name="24" totalsRowFunction="count" dataDxfId="339" totalsRowDxfId="338"/>
    <tableColumn id="26" xr3:uid="{00000000-0010-0000-0800-00001A000000}" name="25" totalsRowFunction="count" dataDxfId="337" totalsRowDxfId="336"/>
    <tableColumn id="27" xr3:uid="{00000000-0010-0000-0800-00001B000000}" name="26" totalsRowFunction="count" dataDxfId="335" totalsRowDxfId="334"/>
    <tableColumn id="28" xr3:uid="{00000000-0010-0000-0800-00001C000000}" name="27" totalsRowFunction="count" dataDxfId="333" totalsRowDxfId="332"/>
    <tableColumn id="29" xr3:uid="{00000000-0010-0000-0800-00001D000000}" name="28" totalsRowFunction="count" dataDxfId="331" totalsRowDxfId="330"/>
    <tableColumn id="30" xr3:uid="{00000000-0010-0000-0800-00001E000000}" name="29" totalsRowFunction="count" dataDxfId="329" totalsRowDxfId="328"/>
    <tableColumn id="31" xr3:uid="{00000000-0010-0000-0800-00001F000000}" name="30" totalsRowFunction="count" dataDxfId="327" totalsRowDxfId="326"/>
    <tableColumn id="32" xr3:uid="{00000000-0010-0000-0800-000020000000}" name=" " totalsRowFunction="count" dataDxfId="325" totalsRowDxfId="324"/>
    <tableColumn id="33" xr3:uid="{00000000-0010-0000-0800-000021000000}" name="Totaal aantal dagen" totalsRowFunction="sum" dataDxfId="323" totalsRowDxfId="322" dataCellStyle="Totaal">
      <calculatedColumnFormula>COUNTA(September[[#This Row],[1]:[30]])</calculatedColumnFormula>
    </tableColumn>
  </tableColumns>
  <tableStyleInfo name="Werknemers Verzuimtabel" showFirstColumn="1" showLastColumn="1" showRowStripes="1" showColumnStripes="0"/>
  <extLst>
    <ext xmlns:x14="http://schemas.microsoft.com/office/spreadsheetml/2009/9/main" uri="{504A1905-F514-4f6f-8877-14C23A59335A}">
      <x14:table altTextSummary="Geef de namen van werknemers en verzuimdatums op. Registreer het verzuimtype volgens de sleutel in rij 12: V=vakantie, S=ziek, P=persoonlijk en twee tijdelijke aanduidingen voor aangepaste vermeldingen"/>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89999084444715716"/>
    <pageSetUpPr fitToPage="1"/>
  </sheetPr>
  <dimension ref="A1:AH12"/>
  <sheetViews>
    <sheetView showGridLines="0" zoomScaleNormal="100" workbookViewId="0">
      <selection activeCell="S11" sqref="S11"/>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1:34" ht="50" customHeight="1" x14ac:dyDescent="0.2">
      <c r="A1" s="17"/>
      <c r="B1" s="13" t="s">
        <v>69</v>
      </c>
    </row>
    <row r="2" spans="1:34" ht="15" customHeight="1" x14ac:dyDescent="0.2">
      <c r="B2" s="18" t="s">
        <v>0</v>
      </c>
      <c r="C2" s="3" t="s">
        <v>3</v>
      </c>
      <c r="D2" s="27" t="s">
        <v>5</v>
      </c>
      <c r="E2" s="27"/>
      <c r="F2" s="27"/>
      <c r="G2" s="4" t="s">
        <v>59</v>
      </c>
      <c r="H2" s="28" t="s">
        <v>58</v>
      </c>
      <c r="I2" s="27"/>
      <c r="J2" s="27"/>
      <c r="K2" s="5" t="s">
        <v>9</v>
      </c>
      <c r="L2" s="28" t="s">
        <v>70</v>
      </c>
      <c r="M2" s="27"/>
      <c r="N2" s="6" t="s">
        <v>61</v>
      </c>
      <c r="O2" s="28" t="s">
        <v>62</v>
      </c>
      <c r="P2" s="27"/>
      <c r="Q2" s="27"/>
      <c r="R2" s="7" t="s">
        <v>64</v>
      </c>
      <c r="S2" s="28" t="s">
        <v>72</v>
      </c>
      <c r="T2" s="27"/>
      <c r="U2" s="27"/>
    </row>
    <row r="3" spans="1:34" ht="15" customHeight="1" x14ac:dyDescent="0.2">
      <c r="AH3" s="19" t="s">
        <v>37</v>
      </c>
    </row>
    <row r="4" spans="1:34" ht="30" customHeight="1" x14ac:dyDescent="0.2">
      <c r="B4" s="11" t="s">
        <v>1</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v>2020</v>
      </c>
    </row>
    <row r="5" spans="1:34" ht="15" customHeight="1" x14ac:dyDescent="0.2">
      <c r="B5" s="11"/>
      <c r="C5" s="1" t="str">
        <f>TEXT(WEEKDAY(DATE(CalendarYear,1,1),1),"aaa")</f>
        <v>wo</v>
      </c>
      <c r="D5" s="1" t="str">
        <f>TEXT(WEEKDAY(DATE(CalendarYear,1,2),1),"aaa")</f>
        <v>do</v>
      </c>
      <c r="E5" s="1" t="str">
        <f>TEXT(WEEKDAY(DATE(CalendarYear,1,3),1),"aaa")</f>
        <v>vr</v>
      </c>
      <c r="F5" s="1" t="str">
        <f>TEXT(WEEKDAY(DATE(CalendarYear,1,4),1),"aaa")</f>
        <v>za</v>
      </c>
      <c r="G5" s="1" t="str">
        <f>TEXT(WEEKDAY(DATE(CalendarYear,1,5),1),"aaa")</f>
        <v>zo</v>
      </c>
      <c r="H5" s="1" t="str">
        <f>TEXT(WEEKDAY(DATE(CalendarYear,1,6),1),"aaa")</f>
        <v>ma</v>
      </c>
      <c r="I5" s="1" t="str">
        <f>TEXT(WEEKDAY(DATE(CalendarYear,1,7),1),"aaa")</f>
        <v>di</v>
      </c>
      <c r="J5" s="1" t="str">
        <f>TEXT(WEEKDAY(DATE(CalendarYear,1,8),1),"aaa")</f>
        <v>wo</v>
      </c>
      <c r="K5" s="1" t="str">
        <f>TEXT(WEEKDAY(DATE(CalendarYear,1,9),1),"aaa")</f>
        <v>do</v>
      </c>
      <c r="L5" s="1" t="str">
        <f>TEXT(WEEKDAY(DATE(CalendarYear,1,10),1),"aaa")</f>
        <v>vr</v>
      </c>
      <c r="M5" s="1" t="str">
        <f>TEXT(WEEKDAY(DATE(CalendarYear,1,11),1),"aaa")</f>
        <v>za</v>
      </c>
      <c r="N5" s="1" t="str">
        <f>TEXT(WEEKDAY(DATE(CalendarYear,1,12),1),"aaa")</f>
        <v>zo</v>
      </c>
      <c r="O5" s="1" t="str">
        <f>TEXT(WEEKDAY(DATE(CalendarYear,1,13),1),"aaa")</f>
        <v>ma</v>
      </c>
      <c r="P5" s="1" t="str">
        <f>TEXT(WEEKDAY(DATE(CalendarYear,1,14),1),"aaa")</f>
        <v>di</v>
      </c>
      <c r="Q5" s="1" t="str">
        <f>TEXT(WEEKDAY(DATE(CalendarYear,1,15),1),"aaa")</f>
        <v>wo</v>
      </c>
      <c r="R5" s="1" t="str">
        <f>TEXT(WEEKDAY(DATE(CalendarYear,1,16),1),"aaa")</f>
        <v>do</v>
      </c>
      <c r="S5" s="1" t="str">
        <f>TEXT(WEEKDAY(DATE(CalendarYear,1,17),1),"aaa")</f>
        <v>vr</v>
      </c>
      <c r="T5" s="1" t="str">
        <f>TEXT(WEEKDAY(DATE(CalendarYear,1,18),1),"aaa")</f>
        <v>za</v>
      </c>
      <c r="U5" s="1" t="str">
        <f>TEXT(WEEKDAY(DATE(CalendarYear,1,19),1),"aaa")</f>
        <v>zo</v>
      </c>
      <c r="V5" s="1" t="str">
        <f>TEXT(WEEKDAY(DATE(CalendarYear,1,20),1),"aaa")</f>
        <v>ma</v>
      </c>
      <c r="W5" s="1" t="str">
        <f>TEXT(WEEKDAY(DATE(CalendarYear,1,21),1),"aaa")</f>
        <v>di</v>
      </c>
      <c r="X5" s="1" t="str">
        <f>TEXT(WEEKDAY(DATE(CalendarYear,1,22),1),"aaa")</f>
        <v>wo</v>
      </c>
      <c r="Y5" s="1" t="str">
        <f>TEXT(WEEKDAY(DATE(CalendarYear,1,23),1),"aaa")</f>
        <v>do</v>
      </c>
      <c r="Z5" s="1" t="str">
        <f>TEXT(WEEKDAY(DATE(CalendarYear,1,24),1),"aaa")</f>
        <v>vr</v>
      </c>
      <c r="AA5" s="1" t="str">
        <f>TEXT(WEEKDAY(DATE(CalendarYear,1,25),1),"aaa")</f>
        <v>za</v>
      </c>
      <c r="AB5" s="1" t="str">
        <f>TEXT(WEEKDAY(DATE(CalendarYear,1,26),1),"aaa")</f>
        <v>zo</v>
      </c>
      <c r="AC5" s="1" t="str">
        <f>TEXT(WEEKDAY(DATE(CalendarYear,1,27),1),"aaa")</f>
        <v>ma</v>
      </c>
      <c r="AD5" s="1" t="str">
        <f>TEXT(WEEKDAY(DATE(CalendarYear,1,28),1),"aaa")</f>
        <v>di</v>
      </c>
      <c r="AE5" s="1" t="str">
        <f>TEXT(WEEKDAY(DATE(CalendarYear,1,29),1),"aaa")</f>
        <v>wo</v>
      </c>
      <c r="AF5" s="1" t="str">
        <f>TEXT(WEEKDAY(DATE(CalendarYear,1,30),1),"aaa")</f>
        <v>do</v>
      </c>
      <c r="AG5" s="1" t="str">
        <f>TEXT(WEEKDAY(DATE(CalendarYear,1,31),1),"aaa")</f>
        <v>vr</v>
      </c>
      <c r="AH5" s="11"/>
    </row>
    <row r="6" spans="1: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 t="s">
        <v>36</v>
      </c>
      <c r="AH6" s="15" t="s">
        <v>38</v>
      </c>
    </row>
    <row r="7" spans="1:34" ht="30" customHeight="1" x14ac:dyDescent="0.2">
      <c r="B7" s="8" t="s">
        <v>53</v>
      </c>
      <c r="C7" s="2"/>
      <c r="D7" s="2"/>
      <c r="E7" s="2"/>
      <c r="F7" s="2"/>
      <c r="G7" s="2"/>
      <c r="H7" s="2"/>
      <c r="I7" s="2"/>
      <c r="J7" s="2"/>
      <c r="K7" s="2"/>
      <c r="L7" s="2"/>
      <c r="M7" s="2"/>
      <c r="N7" s="2" t="s">
        <v>64</v>
      </c>
      <c r="O7" s="2"/>
      <c r="P7" s="2"/>
      <c r="Q7" s="2"/>
      <c r="R7" s="2"/>
      <c r="S7" s="2"/>
      <c r="T7" s="2" t="s">
        <v>59</v>
      </c>
      <c r="U7" s="2"/>
      <c r="V7" s="2"/>
      <c r="W7" s="2"/>
      <c r="X7" s="2"/>
      <c r="Y7" s="2"/>
      <c r="Z7" s="2"/>
      <c r="AA7" s="2" t="s">
        <v>59</v>
      </c>
      <c r="AB7" s="2"/>
      <c r="AC7" s="2"/>
      <c r="AD7" s="2"/>
      <c r="AE7" s="2"/>
      <c r="AF7" s="2"/>
      <c r="AG7" s="2"/>
      <c r="AH7" s="9">
        <f>COUNTA(Januari!$C7:$AG7)</f>
        <v>3</v>
      </c>
    </row>
    <row r="8" spans="1:34" ht="30" customHeight="1" x14ac:dyDescent="0.2">
      <c r="B8" s="8" t="s">
        <v>54</v>
      </c>
      <c r="C8" s="2"/>
      <c r="D8" s="2"/>
      <c r="E8" s="2"/>
      <c r="F8" s="2"/>
      <c r="G8" s="2"/>
      <c r="H8" s="2"/>
      <c r="I8" s="2"/>
      <c r="J8" s="2"/>
      <c r="K8" s="2"/>
      <c r="L8" s="2"/>
      <c r="M8" s="2"/>
      <c r="N8" s="2" t="s">
        <v>59</v>
      </c>
      <c r="O8" s="2"/>
      <c r="P8" s="2"/>
      <c r="Q8" s="2"/>
      <c r="R8" s="2"/>
      <c r="S8" s="2"/>
      <c r="T8" s="2" t="s">
        <v>64</v>
      </c>
      <c r="U8" s="2"/>
      <c r="V8" s="2"/>
      <c r="W8" s="2"/>
      <c r="X8" s="2"/>
      <c r="Y8" s="2"/>
      <c r="Z8" s="2"/>
      <c r="AA8" s="2" t="s">
        <v>64</v>
      </c>
      <c r="AB8" s="2"/>
      <c r="AC8" s="2"/>
      <c r="AD8" s="2"/>
      <c r="AE8" s="2"/>
      <c r="AF8" s="2"/>
      <c r="AG8" s="2"/>
      <c r="AH8" s="9"/>
    </row>
    <row r="9" spans="1:34" ht="30" customHeight="1" x14ac:dyDescent="0.2">
      <c r="B9" s="8" t="s">
        <v>55</v>
      </c>
      <c r="C9" s="2"/>
      <c r="D9" s="2"/>
      <c r="E9" s="2"/>
      <c r="F9" s="2"/>
      <c r="G9" s="2"/>
      <c r="H9" s="2"/>
      <c r="I9" s="2"/>
      <c r="J9" s="2"/>
      <c r="K9" s="2"/>
      <c r="L9" s="2"/>
      <c r="M9" s="2"/>
      <c r="N9" s="2" t="s">
        <v>64</v>
      </c>
      <c r="O9" s="2"/>
      <c r="P9" s="2"/>
      <c r="Q9" s="2"/>
      <c r="R9" s="2"/>
      <c r="S9" s="2"/>
      <c r="T9" s="2" t="s">
        <v>64</v>
      </c>
      <c r="U9" s="2"/>
      <c r="V9" s="2"/>
      <c r="W9" s="2"/>
      <c r="X9" s="2"/>
      <c r="Y9" s="2"/>
      <c r="Z9" s="2"/>
      <c r="AA9" s="2" t="s">
        <v>64</v>
      </c>
      <c r="AB9" s="2"/>
      <c r="AC9" s="2"/>
      <c r="AD9" s="2"/>
      <c r="AE9" s="2"/>
      <c r="AF9" s="2"/>
      <c r="AG9" s="2"/>
      <c r="AH9" s="9"/>
    </row>
    <row r="10" spans="1:34" ht="30" customHeight="1" x14ac:dyDescent="0.2">
      <c r="B10" s="8" t="s">
        <v>56</v>
      </c>
      <c r="C10" s="2"/>
      <c r="D10" s="2"/>
      <c r="E10" s="2"/>
      <c r="F10" s="2"/>
      <c r="G10" s="2"/>
      <c r="H10" s="2"/>
      <c r="I10" s="2"/>
      <c r="J10" s="2"/>
      <c r="K10" s="2"/>
      <c r="L10" s="2"/>
      <c r="M10" s="2"/>
      <c r="N10" s="2" t="s">
        <v>59</v>
      </c>
      <c r="O10" s="2"/>
      <c r="P10" s="2"/>
      <c r="Q10" s="2"/>
      <c r="R10" s="2"/>
      <c r="S10" s="2"/>
      <c r="T10" s="2" t="s">
        <v>59</v>
      </c>
      <c r="U10" s="2"/>
      <c r="V10" s="2"/>
      <c r="W10" s="2"/>
      <c r="X10" s="2"/>
      <c r="Y10" s="2"/>
      <c r="Z10" s="2"/>
      <c r="AA10" s="2" t="s">
        <v>59</v>
      </c>
      <c r="AB10" s="2"/>
      <c r="AC10" s="2"/>
      <c r="AD10" s="2"/>
      <c r="AE10" s="2"/>
      <c r="AF10" s="2"/>
      <c r="AG10" s="2"/>
      <c r="AH10" s="9"/>
    </row>
    <row r="11" spans="1:34" ht="30" customHeight="1" x14ac:dyDescent="0.2">
      <c r="B11" s="8" t="s">
        <v>68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row>
    <row r="12" spans="1:34" ht="30" customHeight="1" x14ac:dyDescent="0.2">
      <c r="B12" s="20" t="str">
        <f>MonthName&amp;" Totaal"</f>
        <v>Januari Totaal</v>
      </c>
      <c r="C12" s="12">
        <f>SUBTOTAL(103,Januari!$C$7:$C$11)</f>
        <v>0</v>
      </c>
      <c r="D12" s="12">
        <f>SUBTOTAL(103,Januari!$D$7:$D$11)</f>
        <v>0</v>
      </c>
      <c r="E12" s="12">
        <f>SUBTOTAL(103,Januari!$E$7:$E$11)</f>
        <v>0</v>
      </c>
      <c r="F12" s="12">
        <f>SUBTOTAL(103,Januari!$F$7:$F$11)</f>
        <v>0</v>
      </c>
      <c r="G12" s="12">
        <f>SUBTOTAL(103,Januari!$G$7:$G$11)</f>
        <v>0</v>
      </c>
      <c r="H12" s="12">
        <f>SUBTOTAL(103,Januari!$H$7:$H$11)</f>
        <v>0</v>
      </c>
      <c r="I12" s="12">
        <f>SUBTOTAL(103,Januari!$I$7:$I$11)</f>
        <v>0</v>
      </c>
      <c r="J12" s="12">
        <f>SUBTOTAL(103,Januari!$J$7:$J$11)</f>
        <v>0</v>
      </c>
      <c r="K12" s="12">
        <f>SUBTOTAL(103,Januari!$K$7:$K$11)</f>
        <v>0</v>
      </c>
      <c r="L12" s="12">
        <f>SUBTOTAL(103,Januari!$L$7:$L$11)</f>
        <v>0</v>
      </c>
      <c r="M12" s="12">
        <f>SUBTOTAL(103,Januari!$M$7:$M$11)</f>
        <v>0</v>
      </c>
      <c r="N12" s="12">
        <f>SUBTOTAL(103,Januari!$N$7:$N$11)</f>
        <v>4</v>
      </c>
      <c r="O12" s="12">
        <f>SUBTOTAL(103,Januari!$O$7:$O$11)</f>
        <v>0</v>
      </c>
      <c r="P12" s="12">
        <f>SUBTOTAL(103,Januari!$P$7:$P$11)</f>
        <v>0</v>
      </c>
      <c r="Q12" s="12">
        <f>SUBTOTAL(103,Januari!$Q$7:$Q$11)</f>
        <v>0</v>
      </c>
      <c r="R12" s="12">
        <f>SUBTOTAL(103,Januari!$R$7:$R$11)</f>
        <v>0</v>
      </c>
      <c r="S12" s="12">
        <f>SUBTOTAL(103,Januari!$S$7:$S$11)</f>
        <v>0</v>
      </c>
      <c r="T12" s="12">
        <f>SUBTOTAL(103,Januari!$T$7:$T$11)</f>
        <v>4</v>
      </c>
      <c r="U12" s="12">
        <f>SUBTOTAL(103,Januari!$U$7:$U$11)</f>
        <v>0</v>
      </c>
      <c r="V12" s="12">
        <f>SUBTOTAL(103,Januari!$V$7:$V$11)</f>
        <v>0</v>
      </c>
      <c r="W12" s="12">
        <f>SUBTOTAL(103,Januari!$W$7:$W$11)</f>
        <v>0</v>
      </c>
      <c r="X12" s="12">
        <f>SUBTOTAL(103,Januari!$X$7:$X$11)</f>
        <v>0</v>
      </c>
      <c r="Y12" s="12">
        <f>SUBTOTAL(103,Januari!$Y$7:$Y$11)</f>
        <v>0</v>
      </c>
      <c r="Z12" s="12">
        <f>SUBTOTAL(103,Januari!$Z$7:$Z$11)</f>
        <v>0</v>
      </c>
      <c r="AA12" s="12">
        <f>SUBTOTAL(103,Januari!$AA$7:$AA$11)</f>
        <v>4</v>
      </c>
      <c r="AB12" s="12">
        <f>SUBTOTAL(103,Januari!$AB$7:$AB$11)</f>
        <v>0</v>
      </c>
      <c r="AC12" s="12">
        <f>SUBTOTAL(103,Januari!$AC$7:$AC$11)</f>
        <v>0</v>
      </c>
      <c r="AD12" s="12">
        <f>SUBTOTAL(103,Januari!$AD$7:$AD$11)</f>
        <v>0</v>
      </c>
      <c r="AE12" s="12">
        <f>SUBTOTAL(103,Januari!$AE$7:$AE$11)</f>
        <v>0</v>
      </c>
      <c r="AF12" s="12">
        <f>SUBTOTAL(103,Januari!$AF$7:$AF$11)</f>
        <v>0</v>
      </c>
      <c r="AG12" s="12">
        <f>SUBTOTAL(103,Januari!$AG$7:$AG$11)</f>
        <v>0</v>
      </c>
      <c r="AH12" s="12">
        <f>SUBTOTAL(109,Januari[Totaal aantal dagen])</f>
        <v>3</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889" priority="6" stopIfTrue="1">
      <formula>C7=KeyCustom2</formula>
    </cfRule>
    <cfRule type="expression" dxfId="888" priority="7" stopIfTrue="1">
      <formula>C7=KeyCustom1</formula>
    </cfRule>
    <cfRule type="expression" dxfId="887" priority="8" stopIfTrue="1">
      <formula>C7=KeySick</formula>
    </cfRule>
    <cfRule type="expression" dxfId="886" priority="9" stopIfTrue="1">
      <formula>C7=KeyPersonal</formula>
    </cfRule>
    <cfRule type="expression" dxfId="885" priority="10" stopIfTrue="1">
      <formula>C7=KeyVacation</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Voer het jaar in deze cel in" sqref="AH4" xr:uid="{00000000-0002-0000-0000-000000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000-000001000000}"/>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000-000002000000}"/>
    <dataValidation allowBlank="1" showInputMessage="1" showErrorMessage="1" prompt="Weekdagen in deze rij worden automatisch bijgewerkt voor de maand, overeenkomstig het jaar dat is ingevoerd in AH4. Elke dag van de maand is een kolom om het verzuim en type verzuim van een werknemer te noteren" sqref="C5" xr:uid="{00000000-0002-0000-0000-000003000000}"/>
    <dataValidation allowBlank="1" showInputMessage="1" showErrorMessage="1" prompt="Berekent automatisch het totaal aantal dagen dat een werknemer in deze maand niet afwezig was" sqref="AH6" xr:uid="{00000000-0002-0000-0000-000004000000}"/>
    <dataValidation allowBlank="1" showInputMessage="1" showErrorMessage="1" prompt="De titel van het werkblad bevindt zich in deze cel. Werk de titel bij en de wijzigingen worden automatisch overgenomen door elk werkblad" sqref="B1" xr:uid="{00000000-0002-0000-0000-000005000000}"/>
    <dataValidation allowBlank="1" showInputMessage="1" showErrorMessage="1" prompt="Maand van dit verzuimschema. Werk het jaar bij in cel AH4. Houd de totalen bij per maand in de laatste cel van de tabel. Namen van werknemers invoeren in tabelkolom B" sqref="B4" xr:uid="{00000000-0002-0000-0000-000006000000}"/>
    <dataValidation allowBlank="1" showInputMessage="1" showErrorMessage="1" prompt="Deze rij definieert de sleutels die worden gebruikt in de tabel: cel C2 is Vakantie, G2 is Persoonlijk en K2 is Ziekteverlof. De cellen N2 en R2 kunnen worden aangepast" sqref="B2" xr:uid="{00000000-0002-0000-0000-000007000000}"/>
    <dataValidation allowBlank="1" showInputMessage="1" showErrorMessage="1" prompt="De letter &quot;V&quot; geeft afwezigheid vanwege vakantie aan" sqref="C2" xr:uid="{00000000-0002-0000-0000-000008000000}"/>
    <dataValidation allowBlank="1" showInputMessage="1" showErrorMessage="1" prompt="De letter &quot;P&quot; geeft afwezigheid vanwege persoonlijke redenen aan" sqref="G2" xr:uid="{00000000-0002-0000-0000-000009000000}"/>
    <dataValidation allowBlank="1" showInputMessage="1" showErrorMessage="1" prompt="De letter &quot;Z&quot; geeft afwezigheid vanwege ziekte aan" sqref="K2" xr:uid="{00000000-0002-0000-0000-00000A000000}"/>
    <dataValidation allowBlank="1" showInputMessage="1" showErrorMessage="1" prompt="Voer een letter in en pas rechts het label aan om een ander sleutelitem toe te voegen" sqref="N2 R2" xr:uid="{00000000-0002-0000-0000-00000B000000}"/>
    <dataValidation allowBlank="1" showInputMessage="1" showErrorMessage="1" prompt="Voer links een label in om de aangepaste sleutel te beschrijven" sqref="O2:Q2 S2:U2" xr:uid="{00000000-0002-0000-0000-00000C000000}"/>
    <dataValidation allowBlank="1" showInputMessage="1" showErrorMessage="1" prompt="De Werknemers Verzuimtabel houdt het verzuim van werknemers per dag bij voor elke maand. Er zijn 13 werkbladen, met een maandelijkse en laatste voor namen van werknemers. Het verzuim van januari in dit werkblad volgen" sqref="A1" xr:uid="{00000000-0002-0000-0000-00000D000000}"/>
    <dataValidation allowBlank="1" showInputMessage="1" showErrorMessage="1" prompt="Jaar invoeren in de cel eronder" sqref="AH3" xr:uid="{00000000-0002-0000-0000-00000E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Werknemersnamen!$B$4:$B$8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AH12"/>
  <sheetViews>
    <sheetView showGridLines="0" topLeftCell="B1" zoomScaleNormal="100" workbookViewId="0">
      <selection activeCell="Z11" sqref="Z11"/>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0</v>
      </c>
      <c r="C2" s="3" t="s">
        <v>3</v>
      </c>
      <c r="D2" s="27" t="s">
        <v>5</v>
      </c>
      <c r="E2" s="27"/>
      <c r="F2" s="27"/>
      <c r="G2" s="4" t="s">
        <v>59</v>
      </c>
      <c r="H2" s="28" t="s">
        <v>58</v>
      </c>
      <c r="I2" s="27"/>
      <c r="J2" s="27"/>
      <c r="K2" s="5" t="s">
        <v>9</v>
      </c>
      <c r="L2" s="28" t="s">
        <v>71</v>
      </c>
      <c r="M2" s="27"/>
      <c r="N2" s="6" t="s">
        <v>61</v>
      </c>
      <c r="O2" s="28" t="s">
        <v>62</v>
      </c>
      <c r="P2" s="27"/>
      <c r="Q2" s="27"/>
      <c r="R2" s="7" t="s">
        <v>64</v>
      </c>
      <c r="S2" s="28" t="s">
        <v>60</v>
      </c>
      <c r="T2" s="27"/>
      <c r="U2" s="27"/>
    </row>
    <row r="3" spans="2:34" ht="15" customHeight="1" x14ac:dyDescent="0.2">
      <c r="B3" s="13"/>
    </row>
    <row r="4" spans="2:34" ht="30" customHeight="1" x14ac:dyDescent="0.2">
      <c r="B4" s="11" t="s">
        <v>48</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TEXT(WEEKDAY(DATE(CalendarYear,10,1),1),"aaa")</f>
        <v>do</v>
      </c>
      <c r="D5" s="1" t="str">
        <f>TEXT(WEEKDAY(DATE(CalendarYear,10,2),1),"aaa")</f>
        <v>vr</v>
      </c>
      <c r="E5" s="1" t="str">
        <f>TEXT(WEEKDAY(DATE(CalendarYear,10,3),1),"aaa")</f>
        <v>za</v>
      </c>
      <c r="F5" s="1" t="str">
        <f>TEXT(WEEKDAY(DATE(CalendarYear,10,4),1),"aaa")</f>
        <v>zo</v>
      </c>
      <c r="G5" s="1" t="str">
        <f>TEXT(WEEKDAY(DATE(CalendarYear,10,5),1),"aaa")</f>
        <v>ma</v>
      </c>
      <c r="H5" s="1" t="str">
        <f>TEXT(WEEKDAY(DATE(CalendarYear,10,6),1),"aaa")</f>
        <v>di</v>
      </c>
      <c r="I5" s="1" t="str">
        <f>TEXT(WEEKDAY(DATE(CalendarYear,10,7),1),"aaa")</f>
        <v>wo</v>
      </c>
      <c r="J5" s="1" t="str">
        <f>TEXT(WEEKDAY(DATE(CalendarYear,10,8),1),"aaa")</f>
        <v>do</v>
      </c>
      <c r="K5" s="1" t="str">
        <f>TEXT(WEEKDAY(DATE(CalendarYear,10,9),1),"aaa")</f>
        <v>vr</v>
      </c>
      <c r="L5" s="1" t="str">
        <f>TEXT(WEEKDAY(DATE(CalendarYear,10,10),1),"aaa")</f>
        <v>za</v>
      </c>
      <c r="M5" s="1" t="str">
        <f>TEXT(WEEKDAY(DATE(CalendarYear,10,11),1),"aaa")</f>
        <v>zo</v>
      </c>
      <c r="N5" s="1" t="str">
        <f>TEXT(WEEKDAY(DATE(CalendarYear,10,12),1),"aaa")</f>
        <v>ma</v>
      </c>
      <c r="O5" s="1" t="str">
        <f>TEXT(WEEKDAY(DATE(CalendarYear,10,13),1),"aaa")</f>
        <v>di</v>
      </c>
      <c r="P5" s="1" t="str">
        <f>TEXT(WEEKDAY(DATE(CalendarYear,10,14),1),"aaa")</f>
        <v>wo</v>
      </c>
      <c r="Q5" s="1" t="str">
        <f>TEXT(WEEKDAY(DATE(CalendarYear,10,15),1),"aaa")</f>
        <v>do</v>
      </c>
      <c r="R5" s="1" t="str">
        <f>TEXT(WEEKDAY(DATE(CalendarYear,10,16),1),"aaa")</f>
        <v>vr</v>
      </c>
      <c r="S5" s="1" t="str">
        <f>TEXT(WEEKDAY(DATE(CalendarYear,10,17),1),"aaa")</f>
        <v>za</v>
      </c>
      <c r="T5" s="1" t="str">
        <f>TEXT(WEEKDAY(DATE(CalendarYear,10,18),1),"aaa")</f>
        <v>zo</v>
      </c>
      <c r="U5" s="1" t="str">
        <f>TEXT(WEEKDAY(DATE(CalendarYear,10,19),1),"aaa")</f>
        <v>ma</v>
      </c>
      <c r="V5" s="1" t="str">
        <f>TEXT(WEEKDAY(DATE(CalendarYear,10,20),1),"aaa")</f>
        <v>di</v>
      </c>
      <c r="W5" s="1" t="str">
        <f>TEXT(WEEKDAY(DATE(CalendarYear,10,21),1),"aaa")</f>
        <v>wo</v>
      </c>
      <c r="X5" s="1" t="str">
        <f>TEXT(WEEKDAY(DATE(CalendarYear,10,22),1),"aaa")</f>
        <v>do</v>
      </c>
      <c r="Y5" s="1" t="str">
        <f>TEXT(WEEKDAY(DATE(CalendarYear,10,23),1),"aaa")</f>
        <v>vr</v>
      </c>
      <c r="Z5" s="1" t="str">
        <f>TEXT(WEEKDAY(DATE(CalendarYear,10,24),1),"aaa")</f>
        <v>za</v>
      </c>
      <c r="AA5" s="1" t="str">
        <f>TEXT(WEEKDAY(DATE(CalendarYear,10,25),1),"aaa")</f>
        <v>zo</v>
      </c>
      <c r="AB5" s="1" t="str">
        <f>TEXT(WEEKDAY(DATE(CalendarYear,10,26),1),"aaa")</f>
        <v>ma</v>
      </c>
      <c r="AC5" s="1" t="str">
        <f>TEXT(WEEKDAY(DATE(CalendarYear,10,27),1),"aaa")</f>
        <v>di</v>
      </c>
      <c r="AD5" s="1" t="str">
        <f>TEXT(WEEKDAY(DATE(CalendarYear,10,28),1),"aaa")</f>
        <v>wo</v>
      </c>
      <c r="AE5" s="1" t="str">
        <f>TEXT(WEEKDAY(DATE(CalendarYear,10,29),1),"aaa")</f>
        <v>do</v>
      </c>
      <c r="AF5" s="1" t="str">
        <f>TEXT(WEEKDAY(DATE(CalendarYear,10,30),1),"aaa")</f>
        <v>vr</v>
      </c>
      <c r="AG5" s="1" t="str">
        <f>TEXT(WEEKDAY(DATE(CalendarYear,10,31),1),"aaa")</f>
        <v>za</v>
      </c>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 t="s">
        <v>36</v>
      </c>
      <c r="AH6" s="15" t="s">
        <v>38</v>
      </c>
    </row>
    <row r="7" spans="2:34" ht="30" customHeight="1" x14ac:dyDescent="0.2">
      <c r="B7" s="16" t="s">
        <v>53</v>
      </c>
      <c r="C7" s="2" t="s">
        <v>59</v>
      </c>
      <c r="D7" s="2"/>
      <c r="E7" s="2" t="s">
        <v>59</v>
      </c>
      <c r="F7" s="2"/>
      <c r="G7" s="2" t="s">
        <v>64</v>
      </c>
      <c r="H7" s="2"/>
      <c r="I7" s="2"/>
      <c r="J7" s="2" t="s">
        <v>64</v>
      </c>
      <c r="K7" s="2"/>
      <c r="L7" s="2" t="s">
        <v>59</v>
      </c>
      <c r="M7" s="2"/>
      <c r="N7" s="2" t="s">
        <v>59</v>
      </c>
      <c r="O7" s="2"/>
      <c r="P7" s="2"/>
      <c r="Q7" s="2"/>
      <c r="R7" s="2"/>
      <c r="S7" s="2" t="s">
        <v>59</v>
      </c>
      <c r="T7" s="2"/>
      <c r="U7" s="2"/>
      <c r="V7" s="2"/>
      <c r="W7" s="2"/>
      <c r="X7" s="2"/>
      <c r="Y7" s="2"/>
      <c r="Z7" s="2" t="s">
        <v>64</v>
      </c>
      <c r="AA7" s="2"/>
      <c r="AB7" s="2"/>
      <c r="AC7" s="2"/>
      <c r="AD7" s="2"/>
      <c r="AE7" s="2"/>
      <c r="AF7" s="2"/>
      <c r="AG7" s="2"/>
      <c r="AH7" s="9">
        <f>COUNTA(Oktober[[#This Row],[1]:[31]])</f>
        <v>8</v>
      </c>
    </row>
    <row r="8" spans="2:34" ht="30" customHeight="1" x14ac:dyDescent="0.2">
      <c r="B8" s="16" t="s">
        <v>54</v>
      </c>
      <c r="C8" s="2" t="s">
        <v>59</v>
      </c>
      <c r="D8" s="2"/>
      <c r="E8" s="2" t="s">
        <v>64</v>
      </c>
      <c r="F8" s="2"/>
      <c r="G8" s="2" t="s">
        <v>64</v>
      </c>
      <c r="H8" s="2"/>
      <c r="I8" s="2"/>
      <c r="J8" s="2" t="s">
        <v>64</v>
      </c>
      <c r="K8" s="2"/>
      <c r="L8" s="2" t="s">
        <v>64</v>
      </c>
      <c r="M8" s="2"/>
      <c r="N8" s="2" t="s">
        <v>59</v>
      </c>
      <c r="O8" s="2"/>
      <c r="P8" s="2"/>
      <c r="Q8" s="2"/>
      <c r="R8" s="2"/>
      <c r="S8" s="2" t="s">
        <v>64</v>
      </c>
      <c r="T8" s="2"/>
      <c r="U8" s="2"/>
      <c r="V8" s="2"/>
      <c r="W8" s="2"/>
      <c r="X8" s="2"/>
      <c r="Y8" s="2"/>
      <c r="Z8" s="2" t="s">
        <v>64</v>
      </c>
      <c r="AA8" s="2"/>
      <c r="AB8" s="2"/>
      <c r="AC8" s="2"/>
      <c r="AD8" s="2"/>
      <c r="AE8" s="2"/>
      <c r="AF8" s="2"/>
      <c r="AG8" s="2"/>
      <c r="AH8" s="9">
        <f>COUNTA(Oktober[[#This Row],[1]:[31]])</f>
        <v>8</v>
      </c>
    </row>
    <row r="9" spans="2:34" ht="30" customHeight="1" x14ac:dyDescent="0.2">
      <c r="B9" s="16" t="s">
        <v>55</v>
      </c>
      <c r="C9" s="2" t="s">
        <v>64</v>
      </c>
      <c r="D9" s="2"/>
      <c r="E9" s="2"/>
      <c r="F9" s="2"/>
      <c r="G9" s="2" t="s">
        <v>64</v>
      </c>
      <c r="H9" s="2"/>
      <c r="I9" s="2"/>
      <c r="J9" s="2" t="s">
        <v>64</v>
      </c>
      <c r="K9" s="2"/>
      <c r="L9" s="2"/>
      <c r="M9" s="2"/>
      <c r="N9" s="2" t="s">
        <v>59</v>
      </c>
      <c r="O9" s="2"/>
      <c r="P9" s="2"/>
      <c r="Q9" s="2"/>
      <c r="R9" s="2"/>
      <c r="S9" s="2"/>
      <c r="T9" s="2"/>
      <c r="U9" s="2" t="s">
        <v>59</v>
      </c>
      <c r="V9" s="2"/>
      <c r="W9" s="2"/>
      <c r="X9" s="2" t="s">
        <v>64</v>
      </c>
      <c r="Y9" s="2"/>
      <c r="Z9" s="2"/>
      <c r="AA9" s="2"/>
      <c r="AB9" s="2"/>
      <c r="AC9" s="2"/>
      <c r="AD9" s="2"/>
      <c r="AE9" s="2" t="s">
        <v>64</v>
      </c>
      <c r="AF9" s="2"/>
      <c r="AG9" s="2"/>
      <c r="AH9" s="9">
        <f>COUNTA(Oktober[[#This Row],[1]:[31]])</f>
        <v>7</v>
      </c>
    </row>
    <row r="10" spans="2:34" ht="30" customHeight="1" x14ac:dyDescent="0.2">
      <c r="B10" s="16" t="s">
        <v>56</v>
      </c>
      <c r="C10" s="2" t="s">
        <v>59</v>
      </c>
      <c r="D10" s="2"/>
      <c r="E10" s="2" t="s">
        <v>59</v>
      </c>
      <c r="F10" s="2"/>
      <c r="G10" s="2" t="s">
        <v>64</v>
      </c>
      <c r="H10" s="2"/>
      <c r="I10" s="2"/>
      <c r="J10" s="2" t="s">
        <v>64</v>
      </c>
      <c r="K10" s="2"/>
      <c r="L10" s="2" t="s">
        <v>59</v>
      </c>
      <c r="M10" s="2"/>
      <c r="N10" s="2" t="s">
        <v>59</v>
      </c>
      <c r="O10" s="2"/>
      <c r="P10" s="2"/>
      <c r="Q10" s="2"/>
      <c r="R10" s="2"/>
      <c r="S10" s="2" t="s">
        <v>59</v>
      </c>
      <c r="T10" s="2"/>
      <c r="U10" s="2"/>
      <c r="V10" s="2"/>
      <c r="W10" s="2"/>
      <c r="X10" s="2"/>
      <c r="Y10" s="2"/>
      <c r="Z10" s="2" t="s">
        <v>64</v>
      </c>
      <c r="AA10" s="2"/>
      <c r="AB10" s="2"/>
      <c r="AC10" s="2"/>
      <c r="AD10" s="2"/>
      <c r="AE10" s="2"/>
      <c r="AF10" s="2"/>
      <c r="AG10" s="2"/>
      <c r="AH10" s="9">
        <f>COUNTA(Oktober[[#This Row],[1]:[31]])</f>
        <v>8</v>
      </c>
    </row>
    <row r="11" spans="2:34" ht="30" customHeight="1" x14ac:dyDescent="0.2">
      <c r="B11" s="1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COUNTA(Oktober[[#This Row],[1]:[31]])</f>
        <v>0</v>
      </c>
    </row>
    <row r="12" spans="2:34" ht="30" customHeight="1" x14ac:dyDescent="0.2">
      <c r="B12" s="20" t="str">
        <f>MonthName&amp;" Totaal"</f>
        <v>Oktober Totaal</v>
      </c>
      <c r="C12" s="12">
        <f>SUBTOTAL(103,Oktober[1])</f>
        <v>4</v>
      </c>
      <c r="D12" s="12">
        <f>SUBTOTAL(103,Oktober[2])</f>
        <v>0</v>
      </c>
      <c r="E12" s="12">
        <f>SUBTOTAL(103,Oktober[3])</f>
        <v>3</v>
      </c>
      <c r="F12" s="12">
        <f>SUBTOTAL(103,Oktober[4])</f>
        <v>0</v>
      </c>
      <c r="G12" s="12">
        <f>SUBTOTAL(103,Oktober[5])</f>
        <v>4</v>
      </c>
      <c r="H12" s="12">
        <f>SUBTOTAL(103,Oktober[6])</f>
        <v>0</v>
      </c>
      <c r="I12" s="12">
        <f>SUBTOTAL(103,Oktober[7])</f>
        <v>0</v>
      </c>
      <c r="J12" s="12">
        <f>SUBTOTAL(103,Oktober[8])</f>
        <v>4</v>
      </c>
      <c r="K12" s="12">
        <f>SUBTOTAL(103,Oktober[9])</f>
        <v>0</v>
      </c>
      <c r="L12" s="12">
        <f>SUBTOTAL(103,Oktober[10])</f>
        <v>3</v>
      </c>
      <c r="M12" s="12">
        <f>SUBTOTAL(103,Oktober[11])</f>
        <v>0</v>
      </c>
      <c r="N12" s="12">
        <f>SUBTOTAL(103,Oktober[12])</f>
        <v>4</v>
      </c>
      <c r="O12" s="12">
        <f>SUBTOTAL(103,Oktober[13])</f>
        <v>0</v>
      </c>
      <c r="P12" s="12">
        <f>SUBTOTAL(103,Oktober[14])</f>
        <v>0</v>
      </c>
      <c r="Q12" s="12">
        <f>SUBTOTAL(103,Oktober[15])</f>
        <v>0</v>
      </c>
      <c r="R12" s="12">
        <f>SUBTOTAL(103,Oktober[16])</f>
        <v>0</v>
      </c>
      <c r="S12" s="12">
        <f>SUBTOTAL(103,Oktober[17])</f>
        <v>3</v>
      </c>
      <c r="T12" s="12">
        <f>SUBTOTAL(103,Oktober[18])</f>
        <v>0</v>
      </c>
      <c r="U12" s="12">
        <f>SUBTOTAL(103,Oktober[19])</f>
        <v>1</v>
      </c>
      <c r="V12" s="12">
        <f>SUBTOTAL(103,Oktober[20])</f>
        <v>0</v>
      </c>
      <c r="W12" s="12">
        <f>SUBTOTAL(103,Oktober[21])</f>
        <v>0</v>
      </c>
      <c r="X12" s="12">
        <f>SUBTOTAL(103,Oktober[22])</f>
        <v>1</v>
      </c>
      <c r="Y12" s="12">
        <f>SUBTOTAL(103,Oktober[23])</f>
        <v>0</v>
      </c>
      <c r="Z12" s="12">
        <f>SUBTOTAL(103,Oktober[24])</f>
        <v>3</v>
      </c>
      <c r="AA12" s="12">
        <f>SUBTOTAL(103,Oktober[25])</f>
        <v>0</v>
      </c>
      <c r="AB12" s="12">
        <f>SUBTOTAL(103,Oktober[26])</f>
        <v>0</v>
      </c>
      <c r="AC12" s="12">
        <f>SUBTOTAL(103,Oktober[27])</f>
        <v>0</v>
      </c>
      <c r="AD12" s="12">
        <f>SUBTOTAL(103,Oktober[28])</f>
        <v>0</v>
      </c>
      <c r="AE12" s="12">
        <f>SUBTOTAL(103,Oktober[29])</f>
        <v>1</v>
      </c>
      <c r="AF12" s="12">
        <f>SUBTOTAL(103,Oktober[30])</f>
        <v>0</v>
      </c>
      <c r="AG12" s="12">
        <f>SUBTOTAL(103,Oktober[31])</f>
        <v>0</v>
      </c>
      <c r="AH12" s="12">
        <f>SUBTOTAL(109,Oktober[Totaal aantal dagen])</f>
        <v>31</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21" priority="2" stopIfTrue="1">
      <formula>C7=KeyCustom2</formula>
    </cfRule>
    <cfRule type="expression" dxfId="320" priority="3" stopIfTrue="1">
      <formula>C7=KeyCustom1</formula>
    </cfRule>
    <cfRule type="expression" dxfId="319" priority="4" stopIfTrue="1">
      <formula>C7=KeySick</formula>
    </cfRule>
    <cfRule type="expression" dxfId="318" priority="5" stopIfTrue="1">
      <formula>C7=KeyPersonal</formula>
    </cfRule>
    <cfRule type="expression" dxfId="317"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900-000000000000}"/>
    <dataValidation allowBlank="1" showInputMessage="1" showErrorMessage="1" prompt="Automatisch bijgewerkt jaar op basis van het jaar dat in het werkblad januari is ingevoerd" sqref="AH4" xr:uid="{00000000-0002-0000-0900-000001000000}"/>
    <dataValidation allowBlank="1" showInputMessage="1" showErrorMessage="1" prompt="Berekent automatisch het totaal aantal dagen die een werknemer in deze maand niet aanwezig was in deze kolom" sqref="AH6" xr:uid="{00000000-0002-0000-0900-000002000000}"/>
    <dataValidation allowBlank="1" showInputMessage="1" showErrorMessage="1" prompt="Houd de afwezigheid in oktober in dit werkblad bij" sqref="A1" xr:uid="{00000000-0002-0000-0900-000003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900-000004000000}"/>
    <dataValidation allowBlank="1" showInputMessage="1" showErrorMessage="1" prompt="De titel wordt automatisch bijgewerkt in deze cel. Als u de titel wilt wijzigen, werk B1 in het januari-werkblad bij" sqref="B1" xr:uid="{00000000-0002-0000-0900-000005000000}"/>
    <dataValidation allowBlank="1" showInputMessage="1" showErrorMessage="1" prompt="De letter &quot;V&quot; geeft afwezigheid vanwege vakantie aan" sqref="C2" xr:uid="{00000000-0002-0000-0900-000006000000}"/>
    <dataValidation allowBlank="1" showInputMessage="1" showErrorMessage="1" prompt="De letter &quot;P&quot; geeft afwezigheid vanwege persoonlijke redenen aan" sqref="G2" xr:uid="{00000000-0002-0000-0900-000007000000}"/>
    <dataValidation allowBlank="1" showInputMessage="1" showErrorMessage="1" prompt="De letter &quot;Z&quot; geeft afwezigheid vanwege ziekte aan" sqref="K2" xr:uid="{00000000-0002-0000-0900-000008000000}"/>
    <dataValidation allowBlank="1" showInputMessage="1" showErrorMessage="1" prompt="Voer een letter in en pas rechts het label aan om een ander sleutelitem toe te voegen" sqref="N2 R2" xr:uid="{00000000-0002-0000-0900-000009000000}"/>
    <dataValidation allowBlank="1" showInputMessage="1" showErrorMessage="1" prompt="Voer links een label in om de aangepaste sleutel te beschrijven" sqref="O2:Q2 S2:U2" xr:uid="{00000000-0002-0000-0900-00000A000000}"/>
    <dataValidation allowBlank="1" showInputMessage="1" showErrorMessage="1" prompt="Deze rij definieert de sleutels die worden gebruikt in de tabel: cel C2 is Vakantie, G2 is Persoonlijk en K2 is Ziekteverlof. De cellen N2 en R2 kunnen worden aangepast" sqref="B2" xr:uid="{00000000-0002-0000-0900-00000B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900-00000C000000}"/>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9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Werknemersnamen!$B$4:$B$8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pageSetUpPr fitToPage="1"/>
  </sheetPr>
  <dimension ref="A1:AH12"/>
  <sheetViews>
    <sheetView showGridLines="0" topLeftCell="B1" zoomScaleNormal="100" workbookViewId="0">
      <selection activeCell="G9" sqref="G9"/>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0</v>
      </c>
      <c r="C2" s="3" t="s">
        <v>3</v>
      </c>
      <c r="D2" s="27" t="s">
        <v>5</v>
      </c>
      <c r="E2" s="27"/>
      <c r="F2" s="27"/>
      <c r="G2" s="4" t="s">
        <v>59</v>
      </c>
      <c r="H2" s="28" t="s">
        <v>58</v>
      </c>
      <c r="I2" s="27"/>
      <c r="J2" s="27"/>
      <c r="K2" s="5" t="s">
        <v>9</v>
      </c>
      <c r="L2" s="28" t="s">
        <v>70</v>
      </c>
      <c r="M2" s="27"/>
      <c r="N2" s="6" t="s">
        <v>61</v>
      </c>
      <c r="O2" s="28" t="s">
        <v>62</v>
      </c>
      <c r="P2" s="27"/>
      <c r="Q2" s="27"/>
      <c r="R2" s="7" t="s">
        <v>64</v>
      </c>
      <c r="S2" s="28" t="s">
        <v>60</v>
      </c>
      <c r="T2" s="27"/>
      <c r="U2" s="27"/>
    </row>
    <row r="3" spans="2:34" ht="15" customHeight="1" x14ac:dyDescent="0.2">
      <c r="B3" s="13"/>
    </row>
    <row r="4" spans="2:34" ht="30" customHeight="1" x14ac:dyDescent="0.2">
      <c r="B4" s="11" t="s">
        <v>49</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TEXT(WEEKDAY(DATE(CalendarYear,11,1),1),"aaa")</f>
        <v>zo</v>
      </c>
      <c r="D5" s="1" t="str">
        <f>TEXT(WEEKDAY(DATE(CalendarYear,11,2),1),"aaa")</f>
        <v>ma</v>
      </c>
      <c r="E5" s="1" t="str">
        <f>TEXT(WEEKDAY(DATE(CalendarYear,11,3),1),"aaa")</f>
        <v>di</v>
      </c>
      <c r="F5" s="1" t="str">
        <f>TEXT(WEEKDAY(DATE(CalendarYear,11,4),1),"aaa")</f>
        <v>wo</v>
      </c>
      <c r="G5" s="1" t="str">
        <f>TEXT(WEEKDAY(DATE(CalendarYear,11,5),1),"aaa")</f>
        <v>do</v>
      </c>
      <c r="H5" s="1" t="str">
        <f>TEXT(WEEKDAY(DATE(CalendarYear,11,6),1),"aaa")</f>
        <v>vr</v>
      </c>
      <c r="I5" s="1" t="str">
        <f>TEXT(WEEKDAY(DATE(CalendarYear,11,7),1),"aaa")</f>
        <v>za</v>
      </c>
      <c r="J5" s="1" t="str">
        <f>TEXT(WEEKDAY(DATE(CalendarYear,11,8),1),"aaa")</f>
        <v>zo</v>
      </c>
      <c r="K5" s="1" t="str">
        <f>TEXT(WEEKDAY(DATE(CalendarYear,11,9),1),"aaa")</f>
        <v>ma</v>
      </c>
      <c r="L5" s="1" t="str">
        <f>TEXT(WEEKDAY(DATE(CalendarYear,11,10),1),"aaa")</f>
        <v>di</v>
      </c>
      <c r="M5" s="1" t="str">
        <f>TEXT(WEEKDAY(DATE(CalendarYear,11,11),1),"aaa")</f>
        <v>wo</v>
      </c>
      <c r="N5" s="1" t="str">
        <f>TEXT(WEEKDAY(DATE(CalendarYear,11,12),1),"aaa")</f>
        <v>do</v>
      </c>
      <c r="O5" s="1" t="str">
        <f>TEXT(WEEKDAY(DATE(CalendarYear,11,13),1),"aaa")</f>
        <v>vr</v>
      </c>
      <c r="P5" s="1" t="str">
        <f>TEXT(WEEKDAY(DATE(CalendarYear,11,14),1),"aaa")</f>
        <v>za</v>
      </c>
      <c r="Q5" s="1" t="str">
        <f>TEXT(WEEKDAY(DATE(CalendarYear,11,15),1),"aaa")</f>
        <v>zo</v>
      </c>
      <c r="R5" s="1" t="str">
        <f>TEXT(WEEKDAY(DATE(CalendarYear,11,16),1),"aaa")</f>
        <v>ma</v>
      </c>
      <c r="S5" s="1" t="str">
        <f>TEXT(WEEKDAY(DATE(CalendarYear,11,17),1),"aaa")</f>
        <v>di</v>
      </c>
      <c r="T5" s="1" t="str">
        <f>TEXT(WEEKDAY(DATE(CalendarYear,11,18),1),"aaa")</f>
        <v>wo</v>
      </c>
      <c r="U5" s="1" t="str">
        <f>TEXT(WEEKDAY(DATE(CalendarYear,11,19),1),"aaa")</f>
        <v>do</v>
      </c>
      <c r="V5" s="1" t="str">
        <f>TEXT(WEEKDAY(DATE(CalendarYear,11,20),1),"aaa")</f>
        <v>vr</v>
      </c>
      <c r="W5" s="1" t="str">
        <f>TEXT(WEEKDAY(DATE(CalendarYear,11,21),1),"aaa")</f>
        <v>za</v>
      </c>
      <c r="X5" s="1" t="str">
        <f>TEXT(WEEKDAY(DATE(CalendarYear,11,22),1),"aaa")</f>
        <v>zo</v>
      </c>
      <c r="Y5" s="1" t="str">
        <f>TEXT(WEEKDAY(DATE(CalendarYear,11,23),1),"aaa")</f>
        <v>ma</v>
      </c>
      <c r="Z5" s="1" t="str">
        <f>TEXT(WEEKDAY(DATE(CalendarYear,11,24),1),"aaa")</f>
        <v>di</v>
      </c>
      <c r="AA5" s="1" t="str">
        <f>TEXT(WEEKDAY(DATE(CalendarYear,11,25),1),"aaa")</f>
        <v>wo</v>
      </c>
      <c r="AB5" s="1" t="str">
        <f>TEXT(WEEKDAY(DATE(CalendarYear,11,26),1),"aaa")</f>
        <v>do</v>
      </c>
      <c r="AC5" s="1" t="str">
        <f>TEXT(WEEKDAY(DATE(CalendarYear,11,27),1),"aaa")</f>
        <v>vr</v>
      </c>
      <c r="AD5" s="1" t="str">
        <f>TEXT(WEEKDAY(DATE(CalendarYear,11,28),1),"aaa")</f>
        <v>za</v>
      </c>
      <c r="AE5" s="1" t="str">
        <f>TEXT(WEEKDAY(DATE(CalendarYear,11,29),1),"aaa")</f>
        <v>zo</v>
      </c>
      <c r="AF5" s="1" t="str">
        <f>TEXT(WEEKDAY(DATE(CalendarYear,11,30),1),"aaa")</f>
        <v>ma</v>
      </c>
      <c r="AG5" s="1"/>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 t="s">
        <v>40</v>
      </c>
      <c r="AH6" s="15" t="s">
        <v>38</v>
      </c>
    </row>
    <row r="7" spans="2:34" ht="30" customHeight="1" x14ac:dyDescent="0.2">
      <c r="B7" s="16" t="s">
        <v>53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9">
        <f>COUNTA(November[[#This Row],[1]:[30]])</f>
        <v>0</v>
      </c>
    </row>
    <row r="8" spans="2:34" ht="30" customHeight="1" x14ac:dyDescent="0.2">
      <c r="B8" s="16" t="s">
        <v>54</v>
      </c>
      <c r="C8" s="2"/>
      <c r="D8" s="2"/>
      <c r="E8" s="2"/>
      <c r="F8" s="2"/>
      <c r="G8" s="2"/>
      <c r="H8" s="2"/>
      <c r="I8" s="2"/>
      <c r="J8" s="2"/>
      <c r="K8" s="2"/>
      <c r="L8" s="2"/>
      <c r="M8" s="2"/>
      <c r="N8" s="2"/>
      <c r="O8" s="2"/>
      <c r="P8" s="2" t="s">
        <v>57</v>
      </c>
      <c r="Q8" s="2" t="s">
        <v>57</v>
      </c>
      <c r="R8" s="2" t="s">
        <v>57</v>
      </c>
      <c r="S8" s="2" t="s">
        <v>57</v>
      </c>
      <c r="T8" s="2" t="s">
        <v>57</v>
      </c>
      <c r="U8" s="2" t="s">
        <v>57</v>
      </c>
      <c r="V8" s="2" t="s">
        <v>57</v>
      </c>
      <c r="W8" s="2"/>
      <c r="X8" s="2"/>
      <c r="Y8" s="2"/>
      <c r="Z8" s="2"/>
      <c r="AA8" s="2"/>
      <c r="AB8" s="2"/>
      <c r="AC8" s="2"/>
      <c r="AD8" s="2"/>
      <c r="AE8" s="2"/>
      <c r="AF8" s="2"/>
      <c r="AG8" s="2"/>
      <c r="AH8" s="9">
        <f>COUNTA(November[[#This Row],[1]:[30]])</f>
        <v>7</v>
      </c>
    </row>
    <row r="9" spans="2:34" ht="30" customHeight="1" x14ac:dyDescent="0.2">
      <c r="B9" s="16" t="s">
        <v>55</v>
      </c>
      <c r="C9" s="2"/>
      <c r="D9" s="2"/>
      <c r="E9" s="2"/>
      <c r="F9" s="2"/>
      <c r="G9" s="2" t="s">
        <v>64</v>
      </c>
      <c r="H9" s="2"/>
      <c r="I9" s="2"/>
      <c r="J9" s="2"/>
      <c r="K9" s="2"/>
      <c r="L9" s="2"/>
      <c r="M9" s="2"/>
      <c r="N9" s="2" t="s">
        <v>64</v>
      </c>
      <c r="O9" s="2"/>
      <c r="P9" s="2"/>
      <c r="Q9" s="2"/>
      <c r="R9" s="2"/>
      <c r="S9" s="2"/>
      <c r="T9" s="2"/>
      <c r="U9" s="2" t="s">
        <v>64</v>
      </c>
      <c r="V9" s="2"/>
      <c r="W9" s="2"/>
      <c r="X9" s="2"/>
      <c r="Y9" s="2"/>
      <c r="Z9" s="2"/>
      <c r="AA9" s="2"/>
      <c r="AB9" s="2" t="s">
        <v>64</v>
      </c>
      <c r="AC9" s="2"/>
      <c r="AD9" s="2"/>
      <c r="AE9" s="2"/>
      <c r="AF9" s="2"/>
      <c r="AG9" s="2"/>
      <c r="AH9" s="9">
        <f>COUNTA(November[[#This Row],[1]:[30]])</f>
        <v>4</v>
      </c>
    </row>
    <row r="10" spans="2:34" ht="30" customHeight="1" x14ac:dyDescent="0.2">
      <c r="B10" s="16" t="s">
        <v>56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9">
        <f>COUNTA(November[[#This Row],[1]:[30]])</f>
        <v>0</v>
      </c>
    </row>
    <row r="11" spans="2:34" ht="30" customHeight="1" x14ac:dyDescent="0.2">
      <c r="B11" s="1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COUNTA(November[[#This Row],[1]:[30]])</f>
        <v>0</v>
      </c>
    </row>
    <row r="12" spans="2:34" ht="30" customHeight="1" x14ac:dyDescent="0.2">
      <c r="B12" s="20" t="str">
        <f>MonthName&amp;" Totaal"</f>
        <v>November Totaal</v>
      </c>
      <c r="C12" s="12">
        <f>SUBTOTAL(103,November[1])</f>
        <v>0</v>
      </c>
      <c r="D12" s="12">
        <f>SUBTOTAL(103,November[2])</f>
        <v>0</v>
      </c>
      <c r="E12" s="12">
        <f>SUBTOTAL(103,November[3])</f>
        <v>0</v>
      </c>
      <c r="F12" s="12">
        <f>SUBTOTAL(103,November[4])</f>
        <v>0</v>
      </c>
      <c r="G12" s="12">
        <f>SUBTOTAL(103,November[5])</f>
        <v>1</v>
      </c>
      <c r="H12" s="12">
        <f>SUBTOTAL(103,November[6])</f>
        <v>0</v>
      </c>
      <c r="I12" s="12">
        <f>SUBTOTAL(103,November[7])</f>
        <v>0</v>
      </c>
      <c r="J12" s="12">
        <f>SUBTOTAL(103,November[8])</f>
        <v>0</v>
      </c>
      <c r="K12" s="12">
        <f>SUBTOTAL(103,November[9])</f>
        <v>0</v>
      </c>
      <c r="L12" s="12">
        <f>SUBTOTAL(103,November[10])</f>
        <v>0</v>
      </c>
      <c r="M12" s="12">
        <f>SUBTOTAL(103,November[11])</f>
        <v>0</v>
      </c>
      <c r="N12" s="12">
        <f>SUBTOTAL(103,November[12])</f>
        <v>1</v>
      </c>
      <c r="O12" s="12">
        <f>SUBTOTAL(103,November[13])</f>
        <v>0</v>
      </c>
      <c r="P12" s="12">
        <f>SUBTOTAL(103,November[14])</f>
        <v>1</v>
      </c>
      <c r="Q12" s="12">
        <f>SUBTOTAL(103,November[15])</f>
        <v>1</v>
      </c>
      <c r="R12" s="12">
        <f>SUBTOTAL(103,November[16])</f>
        <v>1</v>
      </c>
      <c r="S12" s="12">
        <f>SUBTOTAL(103,November[17])</f>
        <v>1</v>
      </c>
      <c r="T12" s="12">
        <f>SUBTOTAL(103,November[18])</f>
        <v>1</v>
      </c>
      <c r="U12" s="12">
        <f>SUBTOTAL(103,November[19])</f>
        <v>2</v>
      </c>
      <c r="V12" s="12">
        <f>SUBTOTAL(103,November[20])</f>
        <v>1</v>
      </c>
      <c r="W12" s="12">
        <f>SUBTOTAL(103,November[21])</f>
        <v>0</v>
      </c>
      <c r="X12" s="12">
        <f>SUBTOTAL(103,November[22])</f>
        <v>0</v>
      </c>
      <c r="Y12" s="12">
        <f>SUBTOTAL(103,November[23])</f>
        <v>0</v>
      </c>
      <c r="Z12" s="12">
        <f>SUBTOTAL(103,November[24])</f>
        <v>0</v>
      </c>
      <c r="AA12" s="12">
        <f>SUBTOTAL(103,November[25])</f>
        <v>0</v>
      </c>
      <c r="AB12" s="12">
        <f>SUBTOTAL(103,November[26])</f>
        <v>1</v>
      </c>
      <c r="AC12" s="12">
        <f>SUBTOTAL(103,November[27])</f>
        <v>0</v>
      </c>
      <c r="AD12" s="12">
        <f>SUBTOTAL(103,November[28])</f>
        <v>0</v>
      </c>
      <c r="AE12" s="12">
        <f>SUBTOTAL(103,November[29])</f>
        <v>0</v>
      </c>
      <c r="AF12" s="12">
        <f>SUBTOTAL(103,November[30])</f>
        <v>0</v>
      </c>
      <c r="AG12" s="12">
        <f>SUBTOTAL(103,November[[ ]])</f>
        <v>0</v>
      </c>
      <c r="AH12" s="12">
        <f>SUBTOTAL(109,November[Totaal aantal dagen])</f>
        <v>11</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47" priority="2" stopIfTrue="1">
      <formula>C7=KeyCustom2</formula>
    </cfRule>
    <cfRule type="expression" dxfId="246" priority="3" stopIfTrue="1">
      <formula>C7=KeyCustom1</formula>
    </cfRule>
    <cfRule type="expression" dxfId="245" priority="4" stopIfTrue="1">
      <formula>C7=KeySick</formula>
    </cfRule>
    <cfRule type="expression" dxfId="244" priority="5" stopIfTrue="1">
      <formula>C7=KeyPersonal</formula>
    </cfRule>
    <cfRule type="expression" dxfId="243"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A00-000000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A00-000001000000}"/>
    <dataValidation allowBlank="1" showInputMessage="1" showErrorMessage="1" prompt="Deze rij definieert de sleutels die worden gebruikt in de tabel: cel C2 is Vakantie, G2 is Persoonlijk en K2 is Ziekteverlof. De cellen N2 en R2 kunnen worden aangepast" sqref="B2" xr:uid="{00000000-0002-0000-0A00-000002000000}"/>
    <dataValidation allowBlank="1" showInputMessage="1" showErrorMessage="1" prompt="Voer links een label in om de aangepaste sleutel te beschrijven" sqref="O2:Q2 S2:U2" xr:uid="{00000000-0002-0000-0A00-000003000000}"/>
    <dataValidation allowBlank="1" showInputMessage="1" showErrorMessage="1" prompt="Voer een letter in en pas rechts het label aan om een ander sleutelitem toe te voegen" sqref="N2 R2" xr:uid="{00000000-0002-0000-0A00-000004000000}"/>
    <dataValidation allowBlank="1" showInputMessage="1" showErrorMessage="1" prompt="De letter &quot;Z&quot; geeft afwezigheid vanwege ziekte aan" sqref="K2" xr:uid="{00000000-0002-0000-0A00-000005000000}"/>
    <dataValidation allowBlank="1" showInputMessage="1" showErrorMessage="1" prompt="De letter &quot;P&quot; geeft afwezigheid vanwege persoonlijke redenen aan" sqref="G2" xr:uid="{00000000-0002-0000-0A00-000006000000}"/>
    <dataValidation allowBlank="1" showInputMessage="1" showErrorMessage="1" prompt="De letter &quot;V&quot; geeft afwezigheid vanwege vakantie aan" sqref="C2" xr:uid="{00000000-0002-0000-0A00-000007000000}"/>
    <dataValidation allowBlank="1" showInputMessage="1" showErrorMessage="1" prompt="De titel wordt automatisch bijgewerkt in deze cel. Als u de titel wilt wijzigen, werk B1 in het januari-werkblad bij" sqref="B1" xr:uid="{00000000-0002-0000-0A00-000008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A00-000009000000}"/>
    <dataValidation allowBlank="1" showInputMessage="1" showErrorMessage="1" prompt="Houd de afwezigheid in november in dit werkblad bij" sqref="A1" xr:uid="{00000000-0002-0000-0A00-00000A000000}"/>
    <dataValidation allowBlank="1" showInputMessage="1" showErrorMessage="1" prompt="Berekent automatisch het totaal aantal dagen die een werknemer in deze maand niet aanwezig was in deze kolom" sqref="AH6" xr:uid="{00000000-0002-0000-0A00-00000B000000}"/>
    <dataValidation allowBlank="1" showInputMessage="1" showErrorMessage="1" prompt="Automatisch bijgewerkt jaar op basis van het jaar dat in het werkblad januari is ingevoerd" sqref="AH4" xr:uid="{00000000-0002-0000-0A00-00000C000000}"/>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A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E000000}">
          <x14:formula1>
            <xm:f>Werknemersnamen!$B$4:$B$8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fitToPage="1"/>
  </sheetPr>
  <dimension ref="A1:AH12"/>
  <sheetViews>
    <sheetView showGridLines="0" zoomScaleNormal="100" workbookViewId="0">
      <selection activeCell="L17" sqref="L17"/>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0</v>
      </c>
      <c r="C2" s="3" t="s">
        <v>3</v>
      </c>
      <c r="D2" s="27" t="s">
        <v>5</v>
      </c>
      <c r="E2" s="27"/>
      <c r="F2" s="27"/>
      <c r="G2" s="4" t="s">
        <v>59</v>
      </c>
      <c r="H2" s="28" t="s">
        <v>65</v>
      </c>
      <c r="I2" s="27"/>
      <c r="J2" s="27"/>
      <c r="K2" s="5" t="s">
        <v>9</v>
      </c>
      <c r="L2" s="28" t="s">
        <v>70</v>
      </c>
      <c r="M2" s="27"/>
      <c r="N2" s="6" t="s">
        <v>61</v>
      </c>
      <c r="O2" s="28" t="s">
        <v>62</v>
      </c>
      <c r="P2" s="27"/>
      <c r="Q2" s="27"/>
      <c r="R2" s="7" t="s">
        <v>64</v>
      </c>
      <c r="S2" s="28" t="s">
        <v>60</v>
      </c>
      <c r="T2" s="27"/>
      <c r="U2" s="27"/>
    </row>
    <row r="3" spans="2:34" ht="15" customHeight="1" x14ac:dyDescent="0.2">
      <c r="B3" s="13"/>
    </row>
    <row r="4" spans="2:34" ht="30" customHeight="1" x14ac:dyDescent="0.2">
      <c r="B4" s="11" t="s">
        <v>50</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TEXT(WEEKDAY(DATE(CalendarYear,12,1),1),"aaa")</f>
        <v>di</v>
      </c>
      <c r="D5" s="1" t="str">
        <f>TEXT(WEEKDAY(DATE(CalendarYear,12,2),1),"aaa")</f>
        <v>wo</v>
      </c>
      <c r="E5" s="1" t="str">
        <f>TEXT(WEEKDAY(DATE(CalendarYear,12,3),1),"aaa")</f>
        <v>do</v>
      </c>
      <c r="F5" s="1" t="str">
        <f>TEXT(WEEKDAY(DATE(CalendarYear,12,4),1),"aaa")</f>
        <v>vr</v>
      </c>
      <c r="G5" s="1" t="str">
        <f>TEXT(WEEKDAY(DATE(CalendarYear,12,5),1),"aaa")</f>
        <v>za</v>
      </c>
      <c r="H5" s="1" t="str">
        <f>TEXT(WEEKDAY(DATE(CalendarYear,12,6),1),"aaa")</f>
        <v>zo</v>
      </c>
      <c r="I5" s="1" t="str">
        <f>TEXT(WEEKDAY(DATE(CalendarYear,12,7),1),"aaa")</f>
        <v>ma</v>
      </c>
      <c r="J5" s="1" t="str">
        <f>TEXT(WEEKDAY(DATE(CalendarYear,12,8),1),"aaa")</f>
        <v>di</v>
      </c>
      <c r="K5" s="1" t="str">
        <f>TEXT(WEEKDAY(DATE(CalendarYear,12,9),1),"aaa")</f>
        <v>wo</v>
      </c>
      <c r="L5" s="1" t="str">
        <f>TEXT(WEEKDAY(DATE(CalendarYear,12,10),1),"aaa")</f>
        <v>do</v>
      </c>
      <c r="M5" s="1" t="str">
        <f>TEXT(WEEKDAY(DATE(CalendarYear,12,11),1),"aaa")</f>
        <v>vr</v>
      </c>
      <c r="N5" s="1" t="str">
        <f>TEXT(WEEKDAY(DATE(CalendarYear,12,12),1),"aaa")</f>
        <v>za</v>
      </c>
      <c r="O5" s="1" t="str">
        <f>TEXT(WEEKDAY(DATE(CalendarYear,12,13),1),"aaa")</f>
        <v>zo</v>
      </c>
      <c r="P5" s="1" t="str">
        <f>TEXT(WEEKDAY(DATE(CalendarYear,12,14),1),"aaa")</f>
        <v>ma</v>
      </c>
      <c r="Q5" s="1" t="str">
        <f>TEXT(WEEKDAY(DATE(CalendarYear,12,15),1),"aaa")</f>
        <v>di</v>
      </c>
      <c r="R5" s="1" t="str">
        <f>TEXT(WEEKDAY(DATE(CalendarYear,12,16),1),"aaa")</f>
        <v>wo</v>
      </c>
      <c r="S5" s="1" t="str">
        <f>TEXT(WEEKDAY(DATE(CalendarYear,12,17),1),"aaa")</f>
        <v>do</v>
      </c>
      <c r="T5" s="1" t="str">
        <f>TEXT(WEEKDAY(DATE(CalendarYear,12,18),1),"aaa")</f>
        <v>vr</v>
      </c>
      <c r="U5" s="1" t="str">
        <f>TEXT(WEEKDAY(DATE(CalendarYear,12,19),1),"aaa")</f>
        <v>za</v>
      </c>
      <c r="V5" s="1" t="str">
        <f>TEXT(WEEKDAY(DATE(CalendarYear,12,20),1),"aaa")</f>
        <v>zo</v>
      </c>
      <c r="W5" s="1" t="str">
        <f>TEXT(WEEKDAY(DATE(CalendarYear,12,21),1),"aaa")</f>
        <v>ma</v>
      </c>
      <c r="X5" s="1" t="str">
        <f>TEXT(WEEKDAY(DATE(CalendarYear,12,22),1),"aaa")</f>
        <v>di</v>
      </c>
      <c r="Y5" s="1" t="str">
        <f>TEXT(WEEKDAY(DATE(CalendarYear,12,23),1),"aaa")</f>
        <v>wo</v>
      </c>
      <c r="Z5" s="1" t="str">
        <f>TEXT(WEEKDAY(DATE(CalendarYear,12,24),1),"aaa")</f>
        <v>do</v>
      </c>
      <c r="AA5" s="1" t="str">
        <f>TEXT(WEEKDAY(DATE(CalendarYear,12,25),1),"aaa")</f>
        <v>vr</v>
      </c>
      <c r="AB5" s="1" t="str">
        <f>TEXT(WEEKDAY(DATE(CalendarYear,12,26),1),"aaa")</f>
        <v>za</v>
      </c>
      <c r="AC5" s="1" t="str">
        <f>TEXT(WEEKDAY(DATE(CalendarYear,12,27),1),"aaa")</f>
        <v>zo</v>
      </c>
      <c r="AD5" s="1" t="str">
        <f>TEXT(WEEKDAY(DATE(CalendarYear,12,28),1),"aaa")</f>
        <v>ma</v>
      </c>
      <c r="AE5" s="1" t="str">
        <f>TEXT(WEEKDAY(DATE(CalendarYear,12,29),1),"aaa")</f>
        <v>di</v>
      </c>
      <c r="AF5" s="1" t="str">
        <f>TEXT(WEEKDAY(DATE(CalendarYear,12,30),1),"aaa")</f>
        <v>wo</v>
      </c>
      <c r="AG5" s="1" t="str">
        <f>TEXT(WEEKDAY(DATE(CalendarYear,12,31),1),"aaa")</f>
        <v>do</v>
      </c>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 t="s">
        <v>36</v>
      </c>
      <c r="AH6" s="15" t="s">
        <v>38</v>
      </c>
    </row>
    <row r="7" spans="2:34" ht="30" customHeight="1" x14ac:dyDescent="0.2">
      <c r="B7" s="16" t="s">
        <v>53</v>
      </c>
      <c r="C7" s="2"/>
      <c r="D7" s="2"/>
      <c r="E7" s="2"/>
      <c r="F7" s="2"/>
      <c r="G7" s="2"/>
      <c r="H7" s="2"/>
      <c r="I7" s="2"/>
      <c r="J7" s="2"/>
      <c r="K7" s="2"/>
      <c r="L7" s="2"/>
      <c r="M7" s="2"/>
      <c r="N7" s="2"/>
      <c r="O7" s="2"/>
      <c r="P7" s="2"/>
      <c r="Q7" s="2"/>
      <c r="R7" s="2"/>
      <c r="S7" s="2"/>
      <c r="T7" s="2"/>
      <c r="U7" s="2"/>
      <c r="V7" s="2"/>
      <c r="W7" s="2"/>
      <c r="X7" s="2"/>
      <c r="Y7" s="2"/>
      <c r="Z7" s="2" t="s">
        <v>61</v>
      </c>
      <c r="AA7" s="2" t="s">
        <v>61</v>
      </c>
      <c r="AB7" s="2" t="s">
        <v>61</v>
      </c>
      <c r="AC7" s="2" t="s">
        <v>61</v>
      </c>
      <c r="AD7" s="2" t="s">
        <v>61</v>
      </c>
      <c r="AE7" s="2" t="s">
        <v>61</v>
      </c>
      <c r="AF7" s="2" t="s">
        <v>61</v>
      </c>
      <c r="AG7" s="2" t="s">
        <v>61</v>
      </c>
      <c r="AH7" s="9">
        <f>COUNTA(December[[#This Row],[1]:[31]])</f>
        <v>8</v>
      </c>
    </row>
    <row r="8" spans="2:34" ht="30" customHeight="1" x14ac:dyDescent="0.2">
      <c r="B8" s="16" t="s">
        <v>54</v>
      </c>
      <c r="C8" s="2"/>
      <c r="D8" s="2"/>
      <c r="E8" s="2"/>
      <c r="F8" s="2"/>
      <c r="G8" s="2"/>
      <c r="H8" s="2"/>
      <c r="I8" s="2"/>
      <c r="J8" s="2"/>
      <c r="K8" s="2"/>
      <c r="L8" s="2"/>
      <c r="M8" s="2"/>
      <c r="N8" s="2"/>
      <c r="O8" s="2"/>
      <c r="P8" s="2"/>
      <c r="Q8" s="2"/>
      <c r="R8" s="2"/>
      <c r="S8" s="2"/>
      <c r="T8" s="2"/>
      <c r="U8" s="2"/>
      <c r="V8" s="2"/>
      <c r="W8" s="2" t="s">
        <v>57</v>
      </c>
      <c r="X8" s="2"/>
      <c r="Y8" s="2"/>
      <c r="Z8" s="2" t="s">
        <v>61</v>
      </c>
      <c r="AA8" s="2" t="s">
        <v>61</v>
      </c>
      <c r="AB8" s="2" t="s">
        <v>61</v>
      </c>
      <c r="AC8" s="2" t="s">
        <v>61</v>
      </c>
      <c r="AD8" s="2" t="s">
        <v>61</v>
      </c>
      <c r="AE8" s="2" t="s">
        <v>61</v>
      </c>
      <c r="AF8" s="2" t="s">
        <v>61</v>
      </c>
      <c r="AG8" s="2" t="s">
        <v>61</v>
      </c>
      <c r="AH8" s="9">
        <f>COUNTA(December[[#This Row],[1]:[31]])</f>
        <v>9</v>
      </c>
    </row>
    <row r="9" spans="2:34" ht="30" customHeight="1" x14ac:dyDescent="0.2">
      <c r="B9" s="16" t="s">
        <v>55</v>
      </c>
      <c r="C9" s="2"/>
      <c r="D9" s="2"/>
      <c r="E9" s="2" t="s">
        <v>64</v>
      </c>
      <c r="F9" s="2"/>
      <c r="G9" s="2"/>
      <c r="H9" s="2"/>
      <c r="I9" s="2"/>
      <c r="J9" s="2"/>
      <c r="K9" s="2"/>
      <c r="L9" s="2"/>
      <c r="M9" s="2"/>
      <c r="N9" s="2"/>
      <c r="O9" s="2"/>
      <c r="P9" s="2"/>
      <c r="Q9" s="2"/>
      <c r="R9" s="2"/>
      <c r="S9" s="2" t="s">
        <v>64</v>
      </c>
      <c r="T9" s="2"/>
      <c r="U9" s="2"/>
      <c r="V9" s="2"/>
      <c r="W9" s="2"/>
      <c r="X9" s="2"/>
      <c r="Y9" s="2"/>
      <c r="Z9" s="2" t="s">
        <v>61</v>
      </c>
      <c r="AA9" s="2" t="s">
        <v>61</v>
      </c>
      <c r="AB9" s="2" t="s">
        <v>61</v>
      </c>
      <c r="AC9" s="2" t="s">
        <v>61</v>
      </c>
      <c r="AD9" s="2" t="s">
        <v>61</v>
      </c>
      <c r="AE9" s="2" t="s">
        <v>61</v>
      </c>
      <c r="AF9" s="2" t="s">
        <v>61</v>
      </c>
      <c r="AG9" s="2" t="s">
        <v>61</v>
      </c>
      <c r="AH9" s="9">
        <f>COUNTA(December[[#This Row],[1]:[31]])</f>
        <v>10</v>
      </c>
    </row>
    <row r="10" spans="2:34" ht="30" customHeight="1" x14ac:dyDescent="0.2">
      <c r="B10" s="16" t="s">
        <v>56</v>
      </c>
      <c r="C10" s="2"/>
      <c r="D10" s="2"/>
      <c r="E10" s="2"/>
      <c r="F10" s="2"/>
      <c r="G10" s="2"/>
      <c r="H10" s="2"/>
      <c r="I10" s="2"/>
      <c r="J10" s="2"/>
      <c r="K10" s="2"/>
      <c r="L10" s="2"/>
      <c r="M10" s="2"/>
      <c r="N10" s="2"/>
      <c r="O10" s="2"/>
      <c r="P10" s="2"/>
      <c r="Q10" s="2"/>
      <c r="R10" s="2"/>
      <c r="S10" s="2"/>
      <c r="T10" s="2"/>
      <c r="U10" s="2"/>
      <c r="V10" s="2"/>
      <c r="W10" s="2"/>
      <c r="X10" s="2"/>
      <c r="Y10" s="2"/>
      <c r="Z10" s="2" t="s">
        <v>61</v>
      </c>
      <c r="AA10" s="2" t="s">
        <v>61</v>
      </c>
      <c r="AB10" s="2" t="s">
        <v>61</v>
      </c>
      <c r="AC10" s="2" t="s">
        <v>61</v>
      </c>
      <c r="AD10" s="2" t="s">
        <v>61</v>
      </c>
      <c r="AE10" s="2" t="s">
        <v>61</v>
      </c>
      <c r="AF10" s="2" t="s">
        <v>61</v>
      </c>
      <c r="AG10" s="2" t="s">
        <v>61</v>
      </c>
      <c r="AH10" s="9">
        <f>COUNTA(December[[#This Row],[1]:[31]])</f>
        <v>8</v>
      </c>
    </row>
    <row r="11" spans="2:34" ht="30" customHeight="1" x14ac:dyDescent="0.2">
      <c r="B11" s="16" t="s">
        <v>68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COUNTA(December[[#This Row],[1]:[31]])</f>
        <v>0</v>
      </c>
    </row>
    <row r="12" spans="2:34" ht="30" customHeight="1" x14ac:dyDescent="0.2">
      <c r="B12" s="20" t="str">
        <f>MonthName&amp;" Totaal"</f>
        <v>December Totaal</v>
      </c>
      <c r="C12" s="12">
        <f>SUBTOTAL(103,December[1])</f>
        <v>0</v>
      </c>
      <c r="D12" s="12">
        <f>SUBTOTAL(103,December[2])</f>
        <v>0</v>
      </c>
      <c r="E12" s="12">
        <f>SUBTOTAL(103,December[3])</f>
        <v>1</v>
      </c>
      <c r="F12" s="12">
        <f>SUBTOTAL(103,December[4])</f>
        <v>0</v>
      </c>
      <c r="G12" s="12">
        <f>SUBTOTAL(103,December[5])</f>
        <v>0</v>
      </c>
      <c r="H12" s="12">
        <f>SUBTOTAL(103,December[6])</f>
        <v>0</v>
      </c>
      <c r="I12" s="12">
        <f>SUBTOTAL(103,December[7])</f>
        <v>0</v>
      </c>
      <c r="J12" s="12">
        <f>SUBTOTAL(103,December[8])</f>
        <v>0</v>
      </c>
      <c r="K12" s="12">
        <f>SUBTOTAL(103,December[9])</f>
        <v>0</v>
      </c>
      <c r="L12" s="12">
        <f>SUBTOTAL(103,December[10])</f>
        <v>0</v>
      </c>
      <c r="M12" s="12">
        <f>SUBTOTAL(103,December[11])</f>
        <v>0</v>
      </c>
      <c r="N12" s="12">
        <f>SUBTOTAL(103,December[12])</f>
        <v>0</v>
      </c>
      <c r="O12" s="12">
        <f>SUBTOTAL(103,December[13])</f>
        <v>0</v>
      </c>
      <c r="P12" s="12">
        <f>SUBTOTAL(103,December[14])</f>
        <v>0</v>
      </c>
      <c r="Q12" s="12">
        <f>SUBTOTAL(103,December[15])</f>
        <v>0</v>
      </c>
      <c r="R12" s="12">
        <f>SUBTOTAL(103,December[16])</f>
        <v>0</v>
      </c>
      <c r="S12" s="12">
        <f>SUBTOTAL(103,December[17])</f>
        <v>1</v>
      </c>
      <c r="T12" s="12">
        <f>SUBTOTAL(103,December[18])</f>
        <v>0</v>
      </c>
      <c r="U12" s="12">
        <f>SUBTOTAL(103,December[19])</f>
        <v>0</v>
      </c>
      <c r="V12" s="12">
        <f>SUBTOTAL(103,December[20])</f>
        <v>0</v>
      </c>
      <c r="W12" s="12">
        <f>SUBTOTAL(103,December[21])</f>
        <v>1</v>
      </c>
      <c r="X12" s="12">
        <f>SUBTOTAL(103,December[22])</f>
        <v>0</v>
      </c>
      <c r="Y12" s="12">
        <f>SUBTOTAL(103,December[23])</f>
        <v>0</v>
      </c>
      <c r="Z12" s="12">
        <f>SUBTOTAL(103,December[24])</f>
        <v>4</v>
      </c>
      <c r="AA12" s="12">
        <f>SUBTOTAL(103,December[25])</f>
        <v>4</v>
      </c>
      <c r="AB12" s="12">
        <f>SUBTOTAL(103,December[26])</f>
        <v>4</v>
      </c>
      <c r="AC12" s="12">
        <f>SUBTOTAL(103,December[27])</f>
        <v>4</v>
      </c>
      <c r="AD12" s="12">
        <f>SUBTOTAL(103,December[28])</f>
        <v>4</v>
      </c>
      <c r="AE12" s="12">
        <f>SUBTOTAL(103,December[29])</f>
        <v>4</v>
      </c>
      <c r="AF12" s="12">
        <f>SUBTOTAL(103,December[30])</f>
        <v>4</v>
      </c>
      <c r="AG12" s="12">
        <f>SUBTOTAL(103,December[31])</f>
        <v>4</v>
      </c>
      <c r="AH12" s="12">
        <f>SUBTOTAL(109,December[Totaal aantal dagen])</f>
        <v>35</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73" priority="2" stopIfTrue="1">
      <formula>C7=KeyCustom2</formula>
    </cfRule>
    <cfRule type="expression" dxfId="172" priority="3" stopIfTrue="1">
      <formula>C7=KeyCustom1</formula>
    </cfRule>
    <cfRule type="expression" dxfId="171" priority="4" stopIfTrue="1">
      <formula>C7=KeySick</formula>
    </cfRule>
    <cfRule type="expression" dxfId="170" priority="5" stopIfTrue="1">
      <formula>C7=KeyPersonal</formula>
    </cfRule>
    <cfRule type="expression" dxfId="169" priority="6" stopIfTrue="1">
      <formula>C7=KeyVacation</formula>
    </cfRule>
  </conditionalFormatting>
  <conditionalFormatting sqref="AH7:AH11">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utomatisch bijgewerkt jaar op basis van het jaar dat in het werkblad januari is ingevoerd" sqref="AH4" xr:uid="{00000000-0002-0000-0B00-000000000000}"/>
    <dataValidation allowBlank="1" showInputMessage="1" showErrorMessage="1" prompt="Berekent automatisch het totaal aantal dagen die een werknemer in deze maand niet aanwezig was in deze kolom" sqref="AH6" xr:uid="{00000000-0002-0000-0B00-000001000000}"/>
    <dataValidation allowBlank="1" showInputMessage="1" showErrorMessage="1" prompt="Houd de afwezigheid in december in dit werkblad bij" sqref="A1" xr:uid="{00000000-0002-0000-0B00-000002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B00-000003000000}"/>
    <dataValidation allowBlank="1" showInputMessage="1" showErrorMessage="1" prompt="De titel wordt automatisch bijgewerkt in deze cel. Als u de titel wilt wijzigen, werk B1 in het januari-werkblad bij" sqref="B1" xr:uid="{00000000-0002-0000-0B00-000004000000}"/>
    <dataValidation allowBlank="1" showInputMessage="1" showErrorMessage="1" prompt="De letter &quot;V&quot; geeft afwezigheid vanwege vakantie aan" sqref="C2" xr:uid="{00000000-0002-0000-0B00-000005000000}"/>
    <dataValidation allowBlank="1" showInputMessage="1" showErrorMessage="1" prompt="De letter &quot;P&quot; geeft afwezigheid vanwege persoonlijke redenen aan" sqref="G2" xr:uid="{00000000-0002-0000-0B00-000006000000}"/>
    <dataValidation allowBlank="1" showInputMessage="1" showErrorMessage="1" prompt="De letter &quot;Z&quot; geeft afwezigheid vanwege ziekte aan" sqref="K2" xr:uid="{00000000-0002-0000-0B00-000007000000}"/>
    <dataValidation allowBlank="1" showInputMessage="1" showErrorMessage="1" prompt="Voer een letter in en pas rechts het label aan om een ander sleutelitem toe te voegen" sqref="N2 R2" xr:uid="{00000000-0002-0000-0B00-000008000000}"/>
    <dataValidation allowBlank="1" showInputMessage="1" showErrorMessage="1" prompt="Voer links een label in om de aangepaste sleutel te beschrijven" sqref="O2:Q2 S2:U2" xr:uid="{00000000-0002-0000-0B00-000009000000}"/>
    <dataValidation allowBlank="1" showInputMessage="1" showErrorMessage="1" prompt="Deze rij definieert de sleutels die worden gebruikt in de tabel: cel C2 is Vakantie, G2 is Persoonlijk en K2 is Ziekteverlof. De cellen N2 en R2 kunnen worden aangepast" sqref="B2" xr:uid="{00000000-0002-0000-0B00-00000A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B00-00000B000000}"/>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B00-00000C000000}"/>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B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E000000}">
          <x14:formula1>
            <xm:f>Werknemersnamen!$B$4:$B$8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B8"/>
  <sheetViews>
    <sheetView showGridLines="0" workbookViewId="0">
      <selection activeCell="B11" sqref="B11"/>
    </sheetView>
  </sheetViews>
  <sheetFormatPr baseColWidth="10" defaultColWidth="8.83203125" defaultRowHeight="30" customHeight="1" x14ac:dyDescent="0.2"/>
  <cols>
    <col min="1" max="1" width="2.6640625" customWidth="1"/>
    <col min="2" max="2" width="30.6640625" customWidth="1"/>
    <col min="3" max="3" width="2.6640625" customWidth="1"/>
  </cols>
  <sheetData>
    <row r="1" spans="2:2" ht="50" customHeight="1" x14ac:dyDescent="0.2">
      <c r="B1" s="21" t="s">
        <v>51</v>
      </c>
    </row>
    <row r="2" spans="2:2" ht="15" customHeight="1" x14ac:dyDescent="0.2"/>
    <row r="3" spans="2:2" ht="30" customHeight="1" x14ac:dyDescent="0.2">
      <c r="B3" t="s">
        <v>51</v>
      </c>
    </row>
    <row r="4" spans="2:2" ht="30" customHeight="1" x14ac:dyDescent="0.2">
      <c r="B4" s="23" t="s">
        <v>53</v>
      </c>
    </row>
    <row r="5" spans="2:2" ht="30" customHeight="1" x14ac:dyDescent="0.2">
      <c r="B5" s="23" t="s">
        <v>54</v>
      </c>
    </row>
    <row r="6" spans="2:2" ht="30" customHeight="1" x14ac:dyDescent="0.2">
      <c r="B6" s="23" t="s">
        <v>55</v>
      </c>
    </row>
    <row r="7" spans="2:2" ht="30" customHeight="1" x14ac:dyDescent="0.2">
      <c r="B7" s="23" t="s">
        <v>56</v>
      </c>
    </row>
    <row r="8" spans="2:2" ht="30" customHeight="1" x14ac:dyDescent="0.2">
      <c r="B8" s="23" t="s">
        <v>68</v>
      </c>
    </row>
  </sheetData>
  <dataValidations count="3">
    <dataValidation allowBlank="1" showInputMessage="1" showErrorMessage="1" prompt="Titel werknemersnamen" sqref="B1" xr:uid="{00000000-0002-0000-0C00-000000000000}"/>
    <dataValidation allowBlank="1" showInputMessage="1" showErrorMessage="1" prompt="Voer namen van werknemers in de tabel werknemersnaam in dit werkblad in. Deze namen worden als opties gebruikt in kolom B van de verzuimtabel van elke maand." sqref="A1" xr:uid="{00000000-0002-0000-0C00-000001000000}"/>
    <dataValidation allowBlank="1" showInputMessage="1" showErrorMessage="1" prompt="Voer de werknemersnamen in deze kolom in" sqref="B3" xr:uid="{00000000-0002-0000-0C00-000002000000}"/>
  </dataValidations>
  <pageMargins left="0.7" right="0.7" top="0.75" bottom="0.75"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AH12"/>
  <sheetViews>
    <sheetView showGridLines="0" zoomScaleNormal="100" workbookViewId="0">
      <selection activeCell="AE11" sqref="AE11"/>
    </sheetView>
  </sheetViews>
  <sheetFormatPr baseColWidth="10" defaultColWidth="9.16406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0</v>
      </c>
      <c r="C2" s="3" t="s">
        <v>3</v>
      </c>
      <c r="D2" s="27" t="s">
        <v>5</v>
      </c>
      <c r="E2" s="27"/>
      <c r="F2" s="27"/>
      <c r="G2" s="4" t="s">
        <v>59</v>
      </c>
      <c r="H2" s="28" t="s">
        <v>58</v>
      </c>
      <c r="I2" s="27"/>
      <c r="J2" s="27"/>
      <c r="K2" s="5" t="s">
        <v>9</v>
      </c>
      <c r="L2" s="28" t="s">
        <v>70</v>
      </c>
      <c r="M2" s="27"/>
      <c r="N2" s="6" t="s">
        <v>61</v>
      </c>
      <c r="O2" s="28" t="s">
        <v>62</v>
      </c>
      <c r="P2" s="27"/>
      <c r="Q2" s="27"/>
      <c r="R2" s="7" t="s">
        <v>64</v>
      </c>
      <c r="S2" s="28" t="s">
        <v>60</v>
      </c>
      <c r="T2" s="27"/>
      <c r="U2" s="27"/>
    </row>
    <row r="3" spans="2:34" ht="15" customHeight="1" x14ac:dyDescent="0.2">
      <c r="B3"/>
    </row>
    <row r="4" spans="2:34" ht="30" customHeight="1" x14ac:dyDescent="0.2">
      <c r="B4" s="11" t="s">
        <v>39</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TEXT(WEEKDAY(DATE(CalendarYear,2,1),1),"aaa")</f>
        <v>za</v>
      </c>
      <c r="D5" s="1" t="str">
        <f>TEXT(WEEKDAY(DATE(CalendarYear,2,2),1),"aaa")</f>
        <v>zo</v>
      </c>
      <c r="E5" s="1" t="str">
        <f>TEXT(WEEKDAY(DATE(CalendarYear,2,3),1),"aaa")</f>
        <v>ma</v>
      </c>
      <c r="F5" s="1" t="str">
        <f>TEXT(WEEKDAY(DATE(CalendarYear,2,4),1),"aaa")</f>
        <v>di</v>
      </c>
      <c r="G5" s="1" t="str">
        <f>TEXT(WEEKDAY(DATE(CalendarYear,2,5),1),"aaa")</f>
        <v>wo</v>
      </c>
      <c r="H5" s="1" t="str">
        <f>TEXT(WEEKDAY(DATE(CalendarYear,2,6),1),"aaa")</f>
        <v>do</v>
      </c>
      <c r="I5" s="1" t="str">
        <f>TEXT(WEEKDAY(DATE(CalendarYear,2,7),1),"aaa")</f>
        <v>vr</v>
      </c>
      <c r="J5" s="1" t="str">
        <f>TEXT(WEEKDAY(DATE(CalendarYear,2,8),1),"aaa")</f>
        <v>za</v>
      </c>
      <c r="K5" s="1" t="str">
        <f>TEXT(WEEKDAY(DATE(CalendarYear,2,9),1),"aaa")</f>
        <v>zo</v>
      </c>
      <c r="L5" s="1" t="str">
        <f>TEXT(WEEKDAY(DATE(CalendarYear,2,10),1),"aaa")</f>
        <v>ma</v>
      </c>
      <c r="M5" s="1" t="str">
        <f>TEXT(WEEKDAY(DATE(CalendarYear,2,11),1),"aaa")</f>
        <v>di</v>
      </c>
      <c r="N5" s="1" t="str">
        <f>TEXT(WEEKDAY(DATE(CalendarYear,2,12),1),"aaa")</f>
        <v>wo</v>
      </c>
      <c r="O5" s="1" t="str">
        <f>TEXT(WEEKDAY(DATE(CalendarYear,2,13),1),"aaa")</f>
        <v>do</v>
      </c>
      <c r="P5" s="1" t="str">
        <f>TEXT(WEEKDAY(DATE(CalendarYear,2,14),1),"aaa")</f>
        <v>vr</v>
      </c>
      <c r="Q5" s="1" t="str">
        <f>TEXT(WEEKDAY(DATE(CalendarYear,2,15),1),"aaa")</f>
        <v>za</v>
      </c>
      <c r="R5" s="1" t="str">
        <f>TEXT(WEEKDAY(DATE(CalendarYear,2,16),1),"aaa")</f>
        <v>zo</v>
      </c>
      <c r="S5" s="1" t="str">
        <f>TEXT(WEEKDAY(DATE(CalendarYear,2,17),1),"aaa")</f>
        <v>ma</v>
      </c>
      <c r="T5" s="1" t="str">
        <f>TEXT(WEEKDAY(DATE(CalendarYear,2,18),1),"aaa")</f>
        <v>di</v>
      </c>
      <c r="U5" s="1" t="str">
        <f>TEXT(WEEKDAY(DATE(CalendarYear,2,19),1),"aaa")</f>
        <v>wo</v>
      </c>
      <c r="V5" s="1" t="str">
        <f>TEXT(WEEKDAY(DATE(CalendarYear,2,20),1),"aaa")</f>
        <v>do</v>
      </c>
      <c r="W5" s="1" t="str">
        <f>TEXT(WEEKDAY(DATE(CalendarYear,2,21),1),"aaa")</f>
        <v>vr</v>
      </c>
      <c r="X5" s="1" t="str">
        <f>TEXT(WEEKDAY(DATE(CalendarYear,2,22),1),"aaa")</f>
        <v>za</v>
      </c>
      <c r="Y5" s="1" t="str">
        <f>TEXT(WEEKDAY(DATE(CalendarYear,2,23),1),"aaa")</f>
        <v>zo</v>
      </c>
      <c r="Z5" s="1" t="str">
        <f>TEXT(WEEKDAY(DATE(CalendarYear,2,24),1),"aaa")</f>
        <v>ma</v>
      </c>
      <c r="AA5" s="1" t="str">
        <f>TEXT(WEEKDAY(DATE(CalendarYear,2,25),1),"aaa")</f>
        <v>di</v>
      </c>
      <c r="AB5" s="1" t="str">
        <f>TEXT(WEEKDAY(DATE(CalendarYear,2,26),1),"aaa")</f>
        <v>wo</v>
      </c>
      <c r="AC5" s="1" t="str">
        <f>TEXT(WEEKDAY(DATE(CalendarYear,2,27),1),"aaa")</f>
        <v>do</v>
      </c>
      <c r="AD5" s="1" t="str">
        <f>TEXT(WEEKDAY(DATE(CalendarYear,2,28),1),"aaa")</f>
        <v>vr</v>
      </c>
      <c r="AE5" s="1" t="str">
        <f>TEXT(WEEKDAY(DATE(CalendarYear,2,29),1),"aaa")</f>
        <v>za</v>
      </c>
      <c r="AF5" s="1"/>
      <c r="AG5" s="1"/>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40</v>
      </c>
      <c r="AG6" s="2" t="s">
        <v>41</v>
      </c>
      <c r="AH6" s="15" t="s">
        <v>38</v>
      </c>
    </row>
    <row r="7" spans="2:34" ht="30" customHeight="1" x14ac:dyDescent="0.2">
      <c r="B7" s="16" t="s">
        <v>53</v>
      </c>
      <c r="C7" s="2" t="s">
        <v>59</v>
      </c>
      <c r="D7" s="2"/>
      <c r="E7" s="2"/>
      <c r="F7" s="2"/>
      <c r="G7" s="2"/>
      <c r="H7" s="2"/>
      <c r="I7" s="2"/>
      <c r="J7" s="2" t="s">
        <v>59</v>
      </c>
      <c r="K7" s="2"/>
      <c r="L7" s="2"/>
      <c r="M7" s="2"/>
      <c r="N7" s="2"/>
      <c r="O7" s="2"/>
      <c r="P7" s="2"/>
      <c r="Q7" s="2" t="s">
        <v>59</v>
      </c>
      <c r="R7" s="2"/>
      <c r="S7" s="2"/>
      <c r="T7" s="2"/>
      <c r="U7" s="2"/>
      <c r="V7" s="2"/>
      <c r="W7" s="2"/>
      <c r="X7" s="2" t="s">
        <v>59</v>
      </c>
      <c r="Y7" s="2"/>
      <c r="Z7" s="2"/>
      <c r="AA7" s="2"/>
      <c r="AB7" s="2"/>
      <c r="AC7" s="2"/>
      <c r="AD7" s="2"/>
      <c r="AE7" s="2" t="s">
        <v>59</v>
      </c>
      <c r="AF7" s="2"/>
      <c r="AG7" s="2"/>
      <c r="AH7" s="9">
        <f>COUNTA(Februari[[#This Row],[1]:[29]])</f>
        <v>5</v>
      </c>
    </row>
    <row r="8" spans="2:34" ht="30" customHeight="1" x14ac:dyDescent="0.2">
      <c r="B8" s="16" t="s">
        <v>54</v>
      </c>
      <c r="C8" s="2" t="s">
        <v>64</v>
      </c>
      <c r="D8" s="2"/>
      <c r="E8" s="2"/>
      <c r="F8" s="2"/>
      <c r="G8" s="2"/>
      <c r="H8" s="2"/>
      <c r="I8" s="2"/>
      <c r="J8" s="2" t="s">
        <v>64</v>
      </c>
      <c r="K8" s="2"/>
      <c r="L8" s="2" t="s">
        <v>3</v>
      </c>
      <c r="M8" s="2" t="s">
        <v>3</v>
      </c>
      <c r="N8" s="2" t="s">
        <v>3</v>
      </c>
      <c r="O8" s="2" t="s">
        <v>3</v>
      </c>
      <c r="P8" s="2" t="s">
        <v>3</v>
      </c>
      <c r="Q8" s="2" t="s">
        <v>3</v>
      </c>
      <c r="R8" s="2"/>
      <c r="S8" s="2"/>
      <c r="T8" s="2"/>
      <c r="U8" s="2"/>
      <c r="V8" s="2"/>
      <c r="W8" s="2"/>
      <c r="X8" s="2" t="s">
        <v>64</v>
      </c>
      <c r="Y8" s="2"/>
      <c r="Z8" s="2"/>
      <c r="AA8" s="2"/>
      <c r="AB8" s="2"/>
      <c r="AC8" s="2"/>
      <c r="AD8" s="2"/>
      <c r="AE8" s="2" t="s">
        <v>64</v>
      </c>
      <c r="AF8" s="2"/>
      <c r="AG8" s="2"/>
      <c r="AH8" s="9">
        <f>COUNTA(Februari[[#This Row],[1]:[29]])</f>
        <v>10</v>
      </c>
    </row>
    <row r="9" spans="2:34" ht="30" customHeight="1" x14ac:dyDescent="0.2">
      <c r="B9" s="16" t="s">
        <v>55</v>
      </c>
      <c r="C9" s="2" t="s">
        <v>64</v>
      </c>
      <c r="D9" s="2"/>
      <c r="E9" s="2"/>
      <c r="F9" s="2"/>
      <c r="G9" s="2"/>
      <c r="H9" s="2"/>
      <c r="I9" s="2"/>
      <c r="J9" s="2" t="s">
        <v>64</v>
      </c>
      <c r="K9" s="2"/>
      <c r="L9" s="2"/>
      <c r="M9" s="2"/>
      <c r="N9" s="2"/>
      <c r="O9" s="2"/>
      <c r="P9" s="2"/>
      <c r="Q9" s="2" t="s">
        <v>64</v>
      </c>
      <c r="R9" s="2"/>
      <c r="S9" s="2"/>
      <c r="T9" s="2"/>
      <c r="U9" s="2"/>
      <c r="V9" s="2"/>
      <c r="W9" s="2"/>
      <c r="X9" s="2" t="s">
        <v>64</v>
      </c>
      <c r="Y9" s="2"/>
      <c r="Z9" s="2"/>
      <c r="AA9" s="2"/>
      <c r="AB9" s="2"/>
      <c r="AC9" s="2"/>
      <c r="AD9" s="2"/>
      <c r="AE9" s="2" t="s">
        <v>64</v>
      </c>
      <c r="AF9" s="2"/>
      <c r="AG9" s="2"/>
      <c r="AH9" s="9">
        <f>COUNTA(Februari[[#This Row],[1]:[29]])</f>
        <v>5</v>
      </c>
    </row>
    <row r="10" spans="2:34" ht="30" customHeight="1" x14ac:dyDescent="0.2">
      <c r="B10" s="16" t="s">
        <v>56</v>
      </c>
      <c r="C10" s="2" t="s">
        <v>59</v>
      </c>
      <c r="D10" s="2"/>
      <c r="E10" s="2"/>
      <c r="F10" s="2"/>
      <c r="G10" s="2"/>
      <c r="H10" s="2"/>
      <c r="I10" s="2"/>
      <c r="J10" s="2" t="s">
        <v>59</v>
      </c>
      <c r="K10" s="2"/>
      <c r="L10" s="2"/>
      <c r="M10" s="2"/>
      <c r="N10" s="2"/>
      <c r="O10" s="2"/>
      <c r="P10" s="2"/>
      <c r="Q10" s="2" t="s">
        <v>59</v>
      </c>
      <c r="R10" s="2"/>
      <c r="S10" s="2"/>
      <c r="T10" s="2"/>
      <c r="U10" s="2"/>
      <c r="V10" s="2"/>
      <c r="W10" s="2"/>
      <c r="X10" s="2" t="s">
        <v>59</v>
      </c>
      <c r="Y10" s="2"/>
      <c r="Z10" s="2"/>
      <c r="AA10" s="2"/>
      <c r="AB10" s="2"/>
      <c r="AC10" s="2"/>
      <c r="AD10" s="2"/>
      <c r="AE10" s="2" t="s">
        <v>59</v>
      </c>
      <c r="AF10" s="2"/>
      <c r="AG10" s="2"/>
      <c r="AH10" s="9">
        <f>COUNTA(Februari[[#This Row],[1]:[29]])</f>
        <v>5</v>
      </c>
    </row>
    <row r="11" spans="2:34" ht="30" customHeight="1" x14ac:dyDescent="0.2">
      <c r="B11" s="1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COUNTA(Februari[[#This Row],[1]:[29]])</f>
        <v>0</v>
      </c>
    </row>
    <row r="12" spans="2:34" ht="30" customHeight="1" x14ac:dyDescent="0.2">
      <c r="B12" s="20" t="str">
        <f>MonthName&amp;" Totaal"</f>
        <v>Februari Totaal</v>
      </c>
      <c r="C12" s="12">
        <f>SUBTOTAL(103,Februari[1])</f>
        <v>4</v>
      </c>
      <c r="D12" s="12">
        <f>SUBTOTAL(103,Februari[2])</f>
        <v>0</v>
      </c>
      <c r="E12" s="12">
        <f>SUBTOTAL(103,Februari[3])</f>
        <v>0</v>
      </c>
      <c r="F12" s="12">
        <f>SUBTOTAL(103,Februari[4])</f>
        <v>0</v>
      </c>
      <c r="G12" s="12">
        <f>SUBTOTAL(103,Februari[5])</f>
        <v>0</v>
      </c>
      <c r="H12" s="12">
        <f>SUBTOTAL(103,Februari[6])</f>
        <v>0</v>
      </c>
      <c r="I12" s="12">
        <f>SUBTOTAL(103,Februari[7])</f>
        <v>0</v>
      </c>
      <c r="J12" s="12">
        <f>SUBTOTAL(103,Februari[8])</f>
        <v>4</v>
      </c>
      <c r="K12" s="12">
        <f>SUBTOTAL(103,Februari[9])</f>
        <v>0</v>
      </c>
      <c r="L12" s="12">
        <f>SUBTOTAL(103,Februari[10])</f>
        <v>1</v>
      </c>
      <c r="M12" s="12">
        <f>SUBTOTAL(103,Februari[11])</f>
        <v>1</v>
      </c>
      <c r="N12" s="12">
        <f>SUBTOTAL(103,Februari[12])</f>
        <v>1</v>
      </c>
      <c r="O12" s="12">
        <f>SUBTOTAL(103,Februari[13])</f>
        <v>1</v>
      </c>
      <c r="P12" s="12">
        <f>SUBTOTAL(103,Februari[14])</f>
        <v>1</v>
      </c>
      <c r="Q12" s="12">
        <f>SUBTOTAL(103,Februari[15])</f>
        <v>4</v>
      </c>
      <c r="R12" s="12">
        <f>SUBTOTAL(103,Februari[16])</f>
        <v>0</v>
      </c>
      <c r="S12" s="12">
        <f>SUBTOTAL(103,Februari[17])</f>
        <v>0</v>
      </c>
      <c r="T12" s="12">
        <f>SUBTOTAL(103,Februari[18])</f>
        <v>0</v>
      </c>
      <c r="U12" s="12">
        <f>SUBTOTAL(103,Februari[19])</f>
        <v>0</v>
      </c>
      <c r="V12" s="12">
        <f>SUBTOTAL(103,Februari[20])</f>
        <v>0</v>
      </c>
      <c r="W12" s="12">
        <f>SUBTOTAL(103,Februari[21])</f>
        <v>0</v>
      </c>
      <c r="X12" s="12">
        <f>SUBTOTAL(103,Februari[22])</f>
        <v>4</v>
      </c>
      <c r="Y12" s="12">
        <f>SUBTOTAL(103,Februari[23])</f>
        <v>0</v>
      </c>
      <c r="Z12" s="12">
        <f>SUBTOTAL(103,Februari[24])</f>
        <v>0</v>
      </c>
      <c r="AA12" s="12">
        <f>SUBTOTAL(103,Februari[25])</f>
        <v>0</v>
      </c>
      <c r="AB12" s="12">
        <f>SUBTOTAL(103,Februari[26])</f>
        <v>0</v>
      </c>
      <c r="AC12" s="12">
        <f>SUBTOTAL(103,Februari[27])</f>
        <v>0</v>
      </c>
      <c r="AD12" s="12">
        <f>SUBTOTAL(103,Februari[28])</f>
        <v>0</v>
      </c>
      <c r="AE12" s="12">
        <f>SUBTOTAL(103,Februari[29])</f>
        <v>4</v>
      </c>
      <c r="AF12" s="12"/>
      <c r="AG12" s="12"/>
      <c r="AH12" s="12">
        <f>SUBTOTAL(109,Februari[Totaal aantal dagen])</f>
        <v>25</v>
      </c>
    </row>
  </sheetData>
  <mergeCells count="6">
    <mergeCell ref="C4:AG4"/>
    <mergeCell ref="D2:F2"/>
    <mergeCell ref="H2:J2"/>
    <mergeCell ref="L2:M2"/>
    <mergeCell ref="O2:Q2"/>
    <mergeCell ref="S2:U2"/>
  </mergeCells>
  <conditionalFormatting sqref="AE6">
    <cfRule type="expression" dxfId="816" priority="16">
      <formula>MONTH(DATE(CalendarYear,2,29))&lt;&gt;2</formula>
    </cfRule>
  </conditionalFormatting>
  <conditionalFormatting sqref="AE5">
    <cfRule type="expression" dxfId="815" priority="15">
      <formula>MONTH(DATE(CalendarYear,2,29))&lt;&gt;2</formula>
    </cfRule>
  </conditionalFormatting>
  <conditionalFormatting sqref="C7:AG11">
    <cfRule type="expression" priority="2" stopIfTrue="1">
      <formula>C7=""</formula>
    </cfRule>
    <cfRule type="expression" dxfId="814" priority="3" stopIfTrue="1">
      <formula>C7=KeyCustom2</formula>
    </cfRule>
  </conditionalFormatting>
  <conditionalFormatting sqref="C7:AG11">
    <cfRule type="expression" dxfId="813" priority="5" stopIfTrue="1">
      <formula>C7=KeyCustom1</formula>
    </cfRule>
    <cfRule type="expression" dxfId="812" priority="6" stopIfTrue="1">
      <formula>C7=KeySick</formula>
    </cfRule>
    <cfRule type="expression" dxfId="811" priority="7" stopIfTrue="1">
      <formula>C7=KeyPersonal</formula>
    </cfRule>
    <cfRule type="expression" dxfId="810" priority="8" stopIfTrue="1">
      <formula>C7=KeyVacation</formula>
    </cfRule>
  </conditionalFormatting>
  <conditionalFormatting sqref="AH7:AH11">
    <cfRule type="dataBar" priority="153">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Automatisch bijgewerkt jaar op basis van het jaar dat in het werkblad januari is ingevoerd" sqref="AH4" xr:uid="{00000000-0002-0000-0100-000000000000}"/>
    <dataValidation allowBlank="1" showInputMessage="1" showErrorMessage="1" prompt="Houd de afwezigheid in februari in dit werkblad bij" sqref="A1" xr:uid="{00000000-0002-0000-0100-000001000000}"/>
    <dataValidation allowBlank="1" showInputMessage="1" showErrorMessage="1" prompt="Berekent automatisch het totaal aantal dagen die een werknemer in deze maand afwezig was in deze kolom" sqref="AH6" xr:uid="{00000000-0002-0000-0100-000002000000}"/>
    <dataValidation allowBlank="1" showInputMessage="1" showErrorMessage="1" prompt="De titel wordt automatisch bijgewerkt in deze cel. Als u de titel wilt wijzigen, werk B1 in het januari-werkblad bij" sqref="B1" xr:uid="{00000000-0002-0000-0100-000003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100-000004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100-000005000000}"/>
    <dataValidation allowBlank="1" showInputMessage="1" showErrorMessage="1" prompt="Deze rij definieert de sleutels die worden gebruikt in de tabel: cel C2 is Vakantie, G2 is Persoonlijk en K2 is Ziekteverlof. De cellen N2 en R2 kunnen worden aangepast" sqref="B2" xr:uid="{00000000-0002-0000-0100-000006000000}"/>
    <dataValidation allowBlank="1" showInputMessage="1" showErrorMessage="1" prompt="Voer links een label in om de aangepaste sleutel te beschrijven" sqref="O2:Q2 S2:U2" xr:uid="{00000000-0002-0000-0100-000007000000}"/>
    <dataValidation allowBlank="1" showInputMessage="1" showErrorMessage="1" prompt="Voer een letter in en pas rechts het label aan om een ander sleutelitem toe te voegen" sqref="N2 R2" xr:uid="{00000000-0002-0000-0100-000008000000}"/>
    <dataValidation allowBlank="1" showInputMessage="1" showErrorMessage="1" prompt="De letter &quot;Z&quot; geeft afwezigheid vanwege ziekte aan" sqref="K2" xr:uid="{00000000-0002-0000-0100-000009000000}"/>
    <dataValidation allowBlank="1" showInputMessage="1" showErrorMessage="1" prompt="De letter &quot;P&quot; geeft afwezigheid vanwege persoonlijke redenen aan" sqref="G2" xr:uid="{00000000-0002-0000-0100-00000A000000}"/>
    <dataValidation allowBlank="1" showInputMessage="1" showErrorMessage="1" prompt="De letter &quot;V&quot; geeft afwezigheid vanwege vakantie aan" sqref="C2" xr:uid="{00000000-0002-0000-0100-00000B000000}"/>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100-00000C000000}"/>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1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r:uid="{00000000-0002-0000-0100-00000E000000}">
          <x14:formula1>
            <xm:f>Werknemersnamen!$B$4:$B$8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A1:AH12"/>
  <sheetViews>
    <sheetView showGridLines="0" topLeftCell="A2" zoomScale="130" zoomScaleNormal="130" workbookViewId="0">
      <selection activeCell="AC14" sqref="AC14"/>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0</v>
      </c>
      <c r="C2" s="3" t="s">
        <v>3</v>
      </c>
      <c r="D2" s="27" t="s">
        <v>5</v>
      </c>
      <c r="E2" s="27"/>
      <c r="F2" s="27"/>
      <c r="G2" s="4" t="s">
        <v>59</v>
      </c>
      <c r="H2" s="28" t="s">
        <v>58</v>
      </c>
      <c r="I2" s="27"/>
      <c r="J2" s="27"/>
      <c r="K2" s="5" t="s">
        <v>9</v>
      </c>
      <c r="L2" s="28" t="s">
        <v>70</v>
      </c>
      <c r="M2" s="27"/>
      <c r="N2" s="6" t="s">
        <v>61</v>
      </c>
      <c r="O2" s="28" t="s">
        <v>62</v>
      </c>
      <c r="P2" s="27"/>
      <c r="Q2" s="27"/>
      <c r="R2" s="7" t="s">
        <v>64</v>
      </c>
      <c r="S2" s="28" t="s">
        <v>60</v>
      </c>
      <c r="T2" s="27"/>
      <c r="U2" s="27"/>
    </row>
    <row r="3" spans="2:34" ht="15" customHeight="1" x14ac:dyDescent="0.2">
      <c r="B3" s="13"/>
    </row>
    <row r="4" spans="2:34" ht="30" customHeight="1" x14ac:dyDescent="0.2">
      <c r="B4" s="11" t="s">
        <v>42</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TEXT(WEEKDAY(DATE(CalendarYear,3,1),1),"aaa")</f>
        <v>zo</v>
      </c>
      <c r="D5" s="1" t="str">
        <f>TEXT(WEEKDAY(DATE(CalendarYear,3,2),1),"aaa")</f>
        <v>ma</v>
      </c>
      <c r="E5" s="1" t="str">
        <f>TEXT(WEEKDAY(DATE(CalendarYear,3,3),1),"aaa")</f>
        <v>di</v>
      </c>
      <c r="F5" s="1" t="str">
        <f>TEXT(WEEKDAY(DATE(CalendarYear,3,4),1),"aaa")</f>
        <v>wo</v>
      </c>
      <c r="G5" s="1" t="str">
        <f>TEXT(WEEKDAY(DATE(CalendarYear,3,5),1),"aaa")</f>
        <v>do</v>
      </c>
      <c r="H5" s="1" t="str">
        <f>TEXT(WEEKDAY(DATE(CalendarYear,3,6),1),"aaa")</f>
        <v>vr</v>
      </c>
      <c r="I5" s="1" t="str">
        <f>TEXT(WEEKDAY(DATE(CalendarYear,3,7),1),"aaa")</f>
        <v>za</v>
      </c>
      <c r="J5" s="1" t="str">
        <f>TEXT(WEEKDAY(DATE(CalendarYear,3,8),1),"aaa")</f>
        <v>zo</v>
      </c>
      <c r="K5" s="1" t="str">
        <f>TEXT(WEEKDAY(DATE(CalendarYear,3,9),1),"aaa")</f>
        <v>ma</v>
      </c>
      <c r="L5" s="1" t="str">
        <f>TEXT(WEEKDAY(DATE(CalendarYear,3,10),1),"aaa")</f>
        <v>di</v>
      </c>
      <c r="M5" s="1" t="str">
        <f>TEXT(WEEKDAY(DATE(CalendarYear,3,11),1),"aaa")</f>
        <v>wo</v>
      </c>
      <c r="N5" s="1" t="str">
        <f>TEXT(WEEKDAY(DATE(CalendarYear,3,12),1),"aaa")</f>
        <v>do</v>
      </c>
      <c r="O5" s="1" t="str">
        <f>TEXT(WEEKDAY(DATE(CalendarYear,3,13),1),"aaa")</f>
        <v>vr</v>
      </c>
      <c r="P5" s="1" t="str">
        <f>TEXT(WEEKDAY(DATE(CalendarYear,3,14),1),"aaa")</f>
        <v>za</v>
      </c>
      <c r="Q5" s="1" t="str">
        <f>TEXT(WEEKDAY(DATE(CalendarYear,3,15),1),"aaa")</f>
        <v>zo</v>
      </c>
      <c r="R5" s="1" t="str">
        <f>TEXT(WEEKDAY(DATE(CalendarYear,3,16),1),"aaa")</f>
        <v>ma</v>
      </c>
      <c r="S5" s="1" t="str">
        <f>TEXT(WEEKDAY(DATE(CalendarYear,3,17),1),"aaa")</f>
        <v>di</v>
      </c>
      <c r="T5" s="1" t="str">
        <f>TEXT(WEEKDAY(DATE(CalendarYear,3,18),1),"aaa")</f>
        <v>wo</v>
      </c>
      <c r="U5" s="1" t="str">
        <f>TEXT(WEEKDAY(DATE(CalendarYear,3,19),1),"aaa")</f>
        <v>do</v>
      </c>
      <c r="V5" s="1" t="str">
        <f>TEXT(WEEKDAY(DATE(CalendarYear,3,20),1),"aaa")</f>
        <v>vr</v>
      </c>
      <c r="W5" s="1" t="str">
        <f>TEXT(WEEKDAY(DATE(CalendarYear,3,21),1),"aaa")</f>
        <v>za</v>
      </c>
      <c r="X5" s="1" t="str">
        <f>TEXT(WEEKDAY(DATE(CalendarYear,3,22),1),"aaa")</f>
        <v>zo</v>
      </c>
      <c r="Y5" s="1" t="str">
        <f>TEXT(WEEKDAY(DATE(CalendarYear,3,23),1),"aaa")</f>
        <v>ma</v>
      </c>
      <c r="Z5" s="1" t="str">
        <f>TEXT(WEEKDAY(DATE(CalendarYear,3,24),1),"aaa")</f>
        <v>di</v>
      </c>
      <c r="AA5" s="1" t="str">
        <f>TEXT(WEEKDAY(DATE(CalendarYear,3,25),1),"aaa")</f>
        <v>wo</v>
      </c>
      <c r="AB5" s="1" t="str">
        <f>TEXT(WEEKDAY(DATE(CalendarYear,3,26),1),"aaa")</f>
        <v>do</v>
      </c>
      <c r="AC5" s="1" t="str">
        <f>TEXT(WEEKDAY(DATE(CalendarYear,3,27),1),"aaa")</f>
        <v>vr</v>
      </c>
      <c r="AD5" s="1" t="str">
        <f>TEXT(WEEKDAY(DATE(CalendarYear,3,28),1),"aaa")</f>
        <v>za</v>
      </c>
      <c r="AE5" s="1" t="str">
        <f>TEXT(WEEKDAY(DATE(CalendarYear,3,29),1),"aaa")</f>
        <v>zo</v>
      </c>
      <c r="AF5" s="1" t="str">
        <f>TEXT(WEEKDAY(DATE(CalendarYear,3,30),1),"aaa")</f>
        <v>ma</v>
      </c>
      <c r="AG5" s="1" t="str">
        <f>TEXT(WEEKDAY(DATE(CalendarYear,3,31),1),"aaa")</f>
        <v>di</v>
      </c>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 t="s">
        <v>36</v>
      </c>
      <c r="AH6" s="15" t="s">
        <v>38</v>
      </c>
    </row>
    <row r="7" spans="2:34" ht="30" customHeight="1" x14ac:dyDescent="0.2">
      <c r="B7" s="16" t="s">
        <v>53</v>
      </c>
      <c r="C7" s="2"/>
      <c r="D7" s="2"/>
      <c r="E7" s="2"/>
      <c r="F7" s="2"/>
      <c r="G7" s="2"/>
      <c r="H7" s="2"/>
      <c r="I7" s="2" t="s">
        <v>3</v>
      </c>
      <c r="J7" s="2" t="s">
        <v>3</v>
      </c>
      <c r="K7" s="2" t="s">
        <v>57</v>
      </c>
      <c r="L7" s="2" t="s">
        <v>57</v>
      </c>
      <c r="M7" s="2" t="s">
        <v>57</v>
      </c>
      <c r="N7" s="2" t="s">
        <v>57</v>
      </c>
      <c r="O7" s="2" t="s">
        <v>57</v>
      </c>
      <c r="P7" s="2" t="s">
        <v>57</v>
      </c>
      <c r="Q7" s="2"/>
      <c r="R7" s="2" t="s">
        <v>9</v>
      </c>
      <c r="S7" s="2"/>
      <c r="T7" s="2"/>
      <c r="U7" s="2" t="s">
        <v>59</v>
      </c>
      <c r="V7" s="2"/>
      <c r="W7" s="2" t="s">
        <v>59</v>
      </c>
      <c r="X7" s="2"/>
      <c r="Y7" s="2" t="s">
        <v>9</v>
      </c>
      <c r="Z7" s="2"/>
      <c r="AA7" s="2"/>
      <c r="AB7" s="2" t="s">
        <v>59</v>
      </c>
      <c r="AC7" s="2"/>
      <c r="AD7" s="2" t="s">
        <v>59</v>
      </c>
      <c r="AE7" s="2"/>
      <c r="AF7" s="2" t="s">
        <v>9</v>
      </c>
      <c r="AG7" s="2"/>
      <c r="AH7" s="9">
        <f>COUNTA(Maart[[#This Row],[1]:[31]])</f>
        <v>15</v>
      </c>
    </row>
    <row r="8" spans="2:34" ht="30" customHeight="1" x14ac:dyDescent="0.2">
      <c r="B8" s="16" t="s">
        <v>54</v>
      </c>
      <c r="C8" s="2"/>
      <c r="D8" s="2"/>
      <c r="E8" s="2"/>
      <c r="F8" s="2"/>
      <c r="G8" s="2"/>
      <c r="H8" s="2"/>
      <c r="I8" s="2" t="s">
        <v>59</v>
      </c>
      <c r="J8" s="2"/>
      <c r="K8" s="2"/>
      <c r="L8" s="2"/>
      <c r="M8" s="2"/>
      <c r="N8" s="2" t="s">
        <v>64</v>
      </c>
      <c r="O8" s="2"/>
      <c r="P8" s="2" t="s">
        <v>64</v>
      </c>
      <c r="Q8" s="2"/>
      <c r="R8" s="2" t="s">
        <v>9</v>
      </c>
      <c r="S8" s="2"/>
      <c r="T8" s="2"/>
      <c r="U8" s="2" t="s">
        <v>59</v>
      </c>
      <c r="V8" s="2"/>
      <c r="W8" s="2" t="s">
        <v>64</v>
      </c>
      <c r="X8" s="2"/>
      <c r="Y8" s="2" t="s">
        <v>9</v>
      </c>
      <c r="Z8" s="2"/>
      <c r="AA8" s="2"/>
      <c r="AB8" s="2" t="s">
        <v>59</v>
      </c>
      <c r="AC8" s="2"/>
      <c r="AD8" s="2" t="s">
        <v>59</v>
      </c>
      <c r="AE8" s="2"/>
      <c r="AF8" s="2" t="s">
        <v>9</v>
      </c>
      <c r="AG8" s="2"/>
      <c r="AH8" s="9">
        <f>COUNTA(Maart[[#This Row],[1]:[31]])</f>
        <v>10</v>
      </c>
    </row>
    <row r="9" spans="2:34" ht="30" customHeight="1" x14ac:dyDescent="0.2">
      <c r="B9" s="16" t="s">
        <v>55</v>
      </c>
      <c r="C9" s="2"/>
      <c r="D9" s="2"/>
      <c r="E9" s="2"/>
      <c r="F9" s="2"/>
      <c r="G9" s="2" t="s">
        <v>57</v>
      </c>
      <c r="H9" s="2" t="s">
        <v>57</v>
      </c>
      <c r="I9" s="2" t="s">
        <v>57</v>
      </c>
      <c r="J9" s="2" t="s">
        <v>57</v>
      </c>
      <c r="K9" s="2" t="s">
        <v>57</v>
      </c>
      <c r="L9" s="2"/>
      <c r="M9" s="2"/>
      <c r="N9" s="2" t="s">
        <v>64</v>
      </c>
      <c r="O9" s="2"/>
      <c r="P9" s="2"/>
      <c r="Q9" s="2"/>
      <c r="R9" s="2" t="s">
        <v>9</v>
      </c>
      <c r="S9" s="2"/>
      <c r="T9" s="2"/>
      <c r="U9" s="2" t="s">
        <v>64</v>
      </c>
      <c r="V9" s="2"/>
      <c r="W9" s="2"/>
      <c r="X9" s="2"/>
      <c r="Y9" s="2" t="s">
        <v>9</v>
      </c>
      <c r="Z9" s="2"/>
      <c r="AA9" s="2"/>
      <c r="AB9" s="2" t="s">
        <v>64</v>
      </c>
      <c r="AC9" s="2"/>
      <c r="AD9" s="2" t="s">
        <v>64</v>
      </c>
      <c r="AE9" s="2"/>
      <c r="AF9" s="2" t="s">
        <v>9</v>
      </c>
      <c r="AG9" s="2"/>
      <c r="AH9" s="9">
        <f>COUNTA(Maart[[#This Row],[1]:[31]])</f>
        <v>12</v>
      </c>
    </row>
    <row r="10" spans="2:34" ht="30" customHeight="1" x14ac:dyDescent="0.2">
      <c r="B10" s="16" t="s">
        <v>56</v>
      </c>
      <c r="C10" s="2"/>
      <c r="D10" s="2"/>
      <c r="E10" s="2"/>
      <c r="F10" s="2"/>
      <c r="G10" s="2"/>
      <c r="H10" s="2"/>
      <c r="I10" s="2" t="s">
        <v>59</v>
      </c>
      <c r="J10" s="2"/>
      <c r="K10" s="2"/>
      <c r="L10" s="2"/>
      <c r="M10" s="2"/>
      <c r="N10" s="2" t="s">
        <v>64</v>
      </c>
      <c r="O10" s="2"/>
      <c r="P10" s="2" t="s">
        <v>64</v>
      </c>
      <c r="Q10" s="2"/>
      <c r="R10" s="2" t="s">
        <v>9</v>
      </c>
      <c r="S10" s="2"/>
      <c r="T10" s="2"/>
      <c r="U10" s="2" t="s">
        <v>59</v>
      </c>
      <c r="V10" s="2"/>
      <c r="W10" s="2" t="s">
        <v>59</v>
      </c>
      <c r="X10" s="2"/>
      <c r="Y10" s="2" t="s">
        <v>9</v>
      </c>
      <c r="Z10" s="2"/>
      <c r="AA10" s="2"/>
      <c r="AB10" s="2" t="s">
        <v>59</v>
      </c>
      <c r="AC10" s="2"/>
      <c r="AD10" s="2" t="s">
        <v>59</v>
      </c>
      <c r="AE10" s="2"/>
      <c r="AF10" s="2" t="s">
        <v>9</v>
      </c>
      <c r="AG10" s="2"/>
      <c r="AH10" s="9">
        <f>COUNTA(Maart[[#This Row],[1]:[31]])</f>
        <v>10</v>
      </c>
    </row>
    <row r="11" spans="2:34" ht="30" customHeight="1" x14ac:dyDescent="0.2">
      <c r="B11" s="1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COUNTA(Maart[[#This Row],[1]:[31]])</f>
        <v>0</v>
      </c>
    </row>
    <row r="12" spans="2:34" ht="30" customHeight="1" x14ac:dyDescent="0.2">
      <c r="B12" s="20" t="str">
        <f>MonthName&amp;" Totaal"</f>
        <v>Maart Totaal</v>
      </c>
      <c r="C12" s="12">
        <f>SUBTOTAL(103,Maart[1])</f>
        <v>0</v>
      </c>
      <c r="D12" s="12">
        <f>SUBTOTAL(103,Maart[2])</f>
        <v>0</v>
      </c>
      <c r="E12" s="12">
        <f>SUBTOTAL(103,Maart[3])</f>
        <v>0</v>
      </c>
      <c r="F12" s="12">
        <f>SUBTOTAL(103,Maart[4])</f>
        <v>0</v>
      </c>
      <c r="G12" s="12">
        <f>SUBTOTAL(103,Maart[5])</f>
        <v>1</v>
      </c>
      <c r="H12" s="12">
        <f>SUBTOTAL(103,Maart[6])</f>
        <v>1</v>
      </c>
      <c r="I12" s="12">
        <f>SUBTOTAL(103,Maart[7])</f>
        <v>4</v>
      </c>
      <c r="J12" s="12">
        <f>SUBTOTAL(103,Maart[8])</f>
        <v>2</v>
      </c>
      <c r="K12" s="12">
        <f>SUBTOTAL(103,Maart[9])</f>
        <v>2</v>
      </c>
      <c r="L12" s="12">
        <f>SUBTOTAL(103,Maart[10])</f>
        <v>1</v>
      </c>
      <c r="M12" s="12">
        <f>SUBTOTAL(103,Maart[11])</f>
        <v>1</v>
      </c>
      <c r="N12" s="12">
        <f>SUBTOTAL(103,Maart[12])</f>
        <v>4</v>
      </c>
      <c r="O12" s="12">
        <f>SUBTOTAL(103,Maart[13])</f>
        <v>1</v>
      </c>
      <c r="P12" s="12">
        <f>SUBTOTAL(103,Maart[14])</f>
        <v>3</v>
      </c>
      <c r="Q12" s="12">
        <f>SUBTOTAL(103,Maart[15])</f>
        <v>0</v>
      </c>
      <c r="R12" s="12">
        <f>SUBTOTAL(103,Maart[16])</f>
        <v>4</v>
      </c>
      <c r="S12" s="12">
        <f>SUBTOTAL(103,Maart[17])</f>
        <v>0</v>
      </c>
      <c r="T12" s="12">
        <f>SUBTOTAL(103,Maart[18])</f>
        <v>0</v>
      </c>
      <c r="U12" s="12">
        <f>SUBTOTAL(103,Maart[19])</f>
        <v>4</v>
      </c>
      <c r="V12" s="12">
        <f>SUBTOTAL(103,Maart[20])</f>
        <v>0</v>
      </c>
      <c r="W12" s="12">
        <f>SUBTOTAL(103,Maart[21])</f>
        <v>3</v>
      </c>
      <c r="X12" s="12">
        <f>SUBTOTAL(103,Maart[22])</f>
        <v>0</v>
      </c>
      <c r="Y12" s="12">
        <f>SUBTOTAL(103,Maart[23])</f>
        <v>4</v>
      </c>
      <c r="Z12" s="12">
        <f>SUBTOTAL(103,Maart[24])</f>
        <v>0</v>
      </c>
      <c r="AA12" s="12">
        <f>SUBTOTAL(103,Maart[25])</f>
        <v>0</v>
      </c>
      <c r="AB12" s="12">
        <f>SUBTOTAL(103,Maart[26])</f>
        <v>4</v>
      </c>
      <c r="AC12" s="12">
        <f>SUBTOTAL(103,Maart[27])</f>
        <v>0</v>
      </c>
      <c r="AD12" s="12">
        <f>SUBTOTAL(103,Maart[28])</f>
        <v>4</v>
      </c>
      <c r="AE12" s="12">
        <f>SUBTOTAL(103,Maart[29])</f>
        <v>0</v>
      </c>
      <c r="AF12" s="12">
        <f>SUBTOTAL(103,Maart[30])</f>
        <v>4</v>
      </c>
      <c r="AG12" s="12">
        <f>SUBTOTAL(103,Maart[31])</f>
        <v>0</v>
      </c>
      <c r="AH12" s="12">
        <f>SUBTOTAL(109,Maart[Totaal aantal dagen])</f>
        <v>47</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740" priority="2" stopIfTrue="1">
      <formula>C7=KeyCustom2</formula>
    </cfRule>
    <cfRule type="expression" dxfId="739" priority="3" stopIfTrue="1">
      <formula>C7=KeyCustom1</formula>
    </cfRule>
    <cfRule type="expression" dxfId="738" priority="4" stopIfTrue="1">
      <formula>C7=KeySick</formula>
    </cfRule>
    <cfRule type="expression" dxfId="737" priority="5" stopIfTrue="1">
      <formula>C7=KeyPersonal</formula>
    </cfRule>
    <cfRule type="expression" dxfId="736"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200-000000000000}"/>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200-000001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200-000002000000}"/>
    <dataValidation allowBlank="1" showInputMessage="1" showErrorMessage="1" prompt="Deze rij definieert de sleutels die worden gebruikt in de tabel: cel C2 is Vakantie, G2 is Persoonlijk en K2 is Ziekteverlof. De cellen N2 en R2 kunnen worden aangepast" sqref="B2" xr:uid="{00000000-0002-0000-0200-000003000000}"/>
    <dataValidation allowBlank="1" showInputMessage="1" showErrorMessage="1" prompt="Voer links een label in om de aangepaste sleutel te beschrijven" sqref="O2:Q2 S2:U2" xr:uid="{00000000-0002-0000-0200-000004000000}"/>
    <dataValidation allowBlank="1" showInputMessage="1" showErrorMessage="1" prompt="Voer een letter in en pas rechts het label aan om een ander sleutelitem toe te voegen" sqref="N2 R2" xr:uid="{00000000-0002-0000-0200-000005000000}"/>
    <dataValidation allowBlank="1" showInputMessage="1" showErrorMessage="1" prompt="De letter &quot;Z&quot; geeft afwezigheid vanwege ziekte aan" sqref="K2" xr:uid="{00000000-0002-0000-0200-000006000000}"/>
    <dataValidation allowBlank="1" showInputMessage="1" showErrorMessage="1" prompt="De letter &quot;P&quot; geeft afwezigheid vanwege persoonlijke redenen aan" sqref="G2" xr:uid="{00000000-0002-0000-0200-000007000000}"/>
    <dataValidation allowBlank="1" showInputMessage="1" showErrorMessage="1" prompt="De letter &quot;V&quot; geeft afwezigheid vanwege vakantie aan" sqref="C2" xr:uid="{00000000-0002-0000-0200-000008000000}"/>
    <dataValidation allowBlank="1" showInputMessage="1" showErrorMessage="1" prompt="De titel wordt automatisch bijgewerkt in deze cel. Als u de titel wilt wijzigen, werk B1 in het januari-werkblad bij" sqref="B1" xr:uid="{00000000-0002-0000-0200-000009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200-00000A000000}"/>
    <dataValidation allowBlank="1" showInputMessage="1" showErrorMessage="1" prompt="Houd de afwezigheid in maart in dit werkblad bij" sqref="A1" xr:uid="{00000000-0002-0000-0200-00000B000000}"/>
    <dataValidation allowBlank="1" showInputMessage="1" showErrorMessage="1" prompt="Berekent automatisch het totaal aantal dagen die een werknemer in deze maand niet aanwezig was in deze kolom" sqref="AH6" xr:uid="{00000000-0002-0000-0200-00000C000000}"/>
    <dataValidation allowBlank="1" showInputMessage="1" showErrorMessage="1" prompt="Automatisch bijgewerkt jaar op basis van het jaar dat in het werkblad januari is ingevoerd" sqref="AH4" xr:uid="{00000000-0002-0000-02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Werknemersnamen!$B$4:$B$8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pageSetUpPr fitToPage="1"/>
  </sheetPr>
  <dimension ref="A1:AH12"/>
  <sheetViews>
    <sheetView showGridLines="0" zoomScale="120" zoomScaleNormal="120" workbookViewId="0">
      <selection activeCell="Q14" sqref="Q14"/>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0</v>
      </c>
      <c r="C2" s="3" t="s">
        <v>3</v>
      </c>
      <c r="D2" s="27" t="s">
        <v>5</v>
      </c>
      <c r="E2" s="27"/>
      <c r="F2" s="27"/>
      <c r="G2" s="4" t="s">
        <v>59</v>
      </c>
      <c r="H2" s="28" t="s">
        <v>58</v>
      </c>
      <c r="I2" s="27"/>
      <c r="J2" s="27"/>
      <c r="K2" s="5" t="s">
        <v>9</v>
      </c>
      <c r="L2" s="28" t="s">
        <v>70</v>
      </c>
      <c r="M2" s="27"/>
      <c r="N2" s="6" t="s">
        <v>61</v>
      </c>
      <c r="O2" s="28" t="s">
        <v>62</v>
      </c>
      <c r="P2" s="27"/>
      <c r="Q2" s="27"/>
      <c r="R2" s="7" t="s">
        <v>64</v>
      </c>
      <c r="S2" s="28" t="s">
        <v>60</v>
      </c>
      <c r="T2" s="27"/>
      <c r="U2" s="27"/>
    </row>
    <row r="3" spans="2:34" ht="15" customHeight="1" x14ac:dyDescent="0.2">
      <c r="B3" s="13"/>
    </row>
    <row r="4" spans="2:34" ht="30" customHeight="1" x14ac:dyDescent="0.2">
      <c r="B4" s="11" t="s">
        <v>43</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TEXT(WEEKDAY(DATE(CalendarYear,4,1),1),"aaa")</f>
        <v>wo</v>
      </c>
      <c r="D5" s="1" t="str">
        <f>TEXT(WEEKDAY(DATE(CalendarYear,4,2),1),"aaa")</f>
        <v>do</v>
      </c>
      <c r="E5" s="1" t="str">
        <f>TEXT(WEEKDAY(DATE(CalendarYear,4,3),1),"aaa")</f>
        <v>vr</v>
      </c>
      <c r="F5" s="1" t="str">
        <f>TEXT(WEEKDAY(DATE(CalendarYear,4,4),1),"aaa")</f>
        <v>za</v>
      </c>
      <c r="G5" s="1" t="str">
        <f>TEXT(WEEKDAY(DATE(CalendarYear,4,5),1),"aaa")</f>
        <v>zo</v>
      </c>
      <c r="H5" s="1" t="str">
        <f>TEXT(WEEKDAY(DATE(CalendarYear,4,6),1),"aaa")</f>
        <v>ma</v>
      </c>
      <c r="I5" s="1" t="str">
        <f>TEXT(WEEKDAY(DATE(CalendarYear,4,7),1),"aaa")</f>
        <v>di</v>
      </c>
      <c r="J5" s="1" t="str">
        <f>TEXT(WEEKDAY(DATE(CalendarYear,4,8),1),"aaa")</f>
        <v>wo</v>
      </c>
      <c r="K5" s="1" t="str">
        <f>TEXT(WEEKDAY(DATE(CalendarYear,4,9),1),"aaa")</f>
        <v>do</v>
      </c>
      <c r="L5" s="1" t="str">
        <f>TEXT(WEEKDAY(DATE(CalendarYear,4,10),1),"aaa")</f>
        <v>vr</v>
      </c>
      <c r="M5" s="1" t="str">
        <f>TEXT(WEEKDAY(DATE(CalendarYear,4,11),1),"aaa")</f>
        <v>za</v>
      </c>
      <c r="N5" s="1" t="str">
        <f>TEXT(WEEKDAY(DATE(CalendarYear,4,12),1),"aaa")</f>
        <v>zo</v>
      </c>
      <c r="O5" s="1" t="str">
        <f>TEXT(WEEKDAY(DATE(CalendarYear,4,13),1),"aaa")</f>
        <v>ma</v>
      </c>
      <c r="P5" s="1" t="str">
        <f>TEXT(WEEKDAY(DATE(CalendarYear,4,14),1),"aaa")</f>
        <v>di</v>
      </c>
      <c r="Q5" s="1" t="str">
        <f>TEXT(WEEKDAY(DATE(CalendarYear,4,15),1),"aaa")</f>
        <v>wo</v>
      </c>
      <c r="R5" s="1" t="str">
        <f>TEXT(WEEKDAY(DATE(CalendarYear,4,16),1),"aaa")</f>
        <v>do</v>
      </c>
      <c r="S5" s="1" t="str">
        <f>TEXT(WEEKDAY(DATE(CalendarYear,4,17),1),"aaa")</f>
        <v>vr</v>
      </c>
      <c r="T5" s="1" t="str">
        <f>TEXT(WEEKDAY(DATE(CalendarYear,4,18),1),"aaa")</f>
        <v>za</v>
      </c>
      <c r="U5" s="1" t="str">
        <f>TEXT(WEEKDAY(DATE(CalendarYear,4,19),1),"aaa")</f>
        <v>zo</v>
      </c>
      <c r="V5" s="1" t="str">
        <f>TEXT(WEEKDAY(DATE(CalendarYear,4,20),1),"aaa")</f>
        <v>ma</v>
      </c>
      <c r="W5" s="1" t="str">
        <f>TEXT(WEEKDAY(DATE(CalendarYear,4,21),1),"aaa")</f>
        <v>di</v>
      </c>
      <c r="X5" s="1" t="str">
        <f>TEXT(WEEKDAY(DATE(CalendarYear,4,22),1),"aaa")</f>
        <v>wo</v>
      </c>
      <c r="Y5" s="1" t="str">
        <f>TEXT(WEEKDAY(DATE(CalendarYear,4,23),1),"aaa")</f>
        <v>do</v>
      </c>
      <c r="Z5" s="1" t="str">
        <f>TEXT(WEEKDAY(DATE(CalendarYear,4,24),1),"aaa")</f>
        <v>vr</v>
      </c>
      <c r="AA5" s="1" t="str">
        <f>TEXT(WEEKDAY(DATE(CalendarYear,4,25),1),"aaa")</f>
        <v>za</v>
      </c>
      <c r="AB5" s="1" t="str">
        <f>TEXT(WEEKDAY(DATE(CalendarYear,4,26),1),"aaa")</f>
        <v>zo</v>
      </c>
      <c r="AC5" s="1" t="str">
        <f>TEXT(WEEKDAY(DATE(CalendarYear,4,27),1),"aaa")</f>
        <v>ma</v>
      </c>
      <c r="AD5" s="1" t="str">
        <f>TEXT(WEEKDAY(DATE(CalendarYear,4,28),1),"aaa")</f>
        <v>di</v>
      </c>
      <c r="AE5" s="1" t="str">
        <f>TEXT(WEEKDAY(DATE(CalendarYear,4,29),1),"aaa")</f>
        <v>wo</v>
      </c>
      <c r="AF5" s="1" t="str">
        <f>TEXT(WEEKDAY(DATE(CalendarYear,4,30),1),"aaa")</f>
        <v>do</v>
      </c>
      <c r="AG5" s="1"/>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2" t="s">
        <v>40</v>
      </c>
      <c r="AH6" s="15" t="s">
        <v>38</v>
      </c>
    </row>
    <row r="7" spans="2:34" ht="30" customHeight="1" x14ac:dyDescent="0.2">
      <c r="B7" s="16" t="s">
        <v>53</v>
      </c>
      <c r="C7" s="2"/>
      <c r="D7" s="2" t="s">
        <v>59</v>
      </c>
      <c r="E7" s="2"/>
      <c r="F7" s="2" t="s">
        <v>59</v>
      </c>
      <c r="G7" s="2"/>
      <c r="H7" s="2" t="s">
        <v>9</v>
      </c>
      <c r="I7" s="2"/>
      <c r="J7" s="2"/>
      <c r="K7" s="2" t="s">
        <v>59</v>
      </c>
      <c r="L7" s="2"/>
      <c r="M7" s="2" t="s">
        <v>59</v>
      </c>
      <c r="N7" s="2"/>
      <c r="O7" s="2" t="s">
        <v>61</v>
      </c>
      <c r="P7" s="2"/>
      <c r="Q7" s="2"/>
      <c r="R7" s="2" t="s">
        <v>64</v>
      </c>
      <c r="S7" s="2"/>
      <c r="T7" s="2" t="s">
        <v>64</v>
      </c>
      <c r="U7" s="2"/>
      <c r="V7" s="2" t="s">
        <v>9</v>
      </c>
      <c r="W7" s="2"/>
      <c r="X7" s="2"/>
      <c r="Y7" s="2" t="s">
        <v>59</v>
      </c>
      <c r="Z7" s="2"/>
      <c r="AA7" s="2" t="s">
        <v>64</v>
      </c>
      <c r="AB7" s="2"/>
      <c r="AC7" s="2" t="s">
        <v>61</v>
      </c>
      <c r="AD7" s="2"/>
      <c r="AE7" s="2"/>
      <c r="AF7" s="2" t="s">
        <v>3</v>
      </c>
      <c r="AG7" s="2"/>
      <c r="AH7" s="9">
        <f>COUNTA(April[[#This Row],[1]:[30]])</f>
        <v>13</v>
      </c>
    </row>
    <row r="8" spans="2:34" ht="30" customHeight="1" x14ac:dyDescent="0.2">
      <c r="B8" s="16" t="s">
        <v>54</v>
      </c>
      <c r="C8" s="2"/>
      <c r="D8" s="2" t="s">
        <v>59</v>
      </c>
      <c r="E8" s="2"/>
      <c r="F8" s="2" t="s">
        <v>64</v>
      </c>
      <c r="G8" s="2"/>
      <c r="H8" s="2" t="s">
        <v>9</v>
      </c>
      <c r="I8" s="2"/>
      <c r="J8" s="2"/>
      <c r="K8" s="2" t="s">
        <v>59</v>
      </c>
      <c r="L8" s="2"/>
      <c r="M8" s="2" t="s">
        <v>64</v>
      </c>
      <c r="N8" s="2"/>
      <c r="O8" s="2" t="s">
        <v>61</v>
      </c>
      <c r="P8" s="2"/>
      <c r="Q8" s="2"/>
      <c r="R8" s="2" t="s">
        <v>64</v>
      </c>
      <c r="S8" s="2"/>
      <c r="T8" s="2" t="s">
        <v>57</v>
      </c>
      <c r="U8" s="2" t="s">
        <v>57</v>
      </c>
      <c r="V8" s="2" t="s">
        <v>57</v>
      </c>
      <c r="W8" s="2" t="s">
        <v>57</v>
      </c>
      <c r="X8" s="2" t="s">
        <v>57</v>
      </c>
      <c r="Y8" s="2" t="s">
        <v>64</v>
      </c>
      <c r="Z8" s="2" t="s">
        <v>57</v>
      </c>
      <c r="AA8" s="2" t="s">
        <v>64</v>
      </c>
      <c r="AB8" s="2"/>
      <c r="AC8" s="2" t="s">
        <v>61</v>
      </c>
      <c r="AD8" s="2"/>
      <c r="AE8" s="2"/>
      <c r="AF8" s="2" t="s">
        <v>59</v>
      </c>
      <c r="AG8" s="2"/>
      <c r="AH8" s="9">
        <f>COUNTA(April[[#This Row],[1]:[30]])</f>
        <v>17</v>
      </c>
    </row>
    <row r="9" spans="2:34" ht="30" customHeight="1" x14ac:dyDescent="0.2">
      <c r="B9" s="16" t="s">
        <v>55</v>
      </c>
      <c r="C9" s="2"/>
      <c r="D9" s="2" t="s">
        <v>64</v>
      </c>
      <c r="E9" s="2"/>
      <c r="F9" s="2" t="s">
        <v>64</v>
      </c>
      <c r="G9" s="2"/>
      <c r="H9" s="2" t="s">
        <v>9</v>
      </c>
      <c r="I9" s="2"/>
      <c r="J9" s="2"/>
      <c r="K9" s="2" t="s">
        <v>64</v>
      </c>
      <c r="L9" s="2"/>
      <c r="M9" s="2" t="s">
        <v>64</v>
      </c>
      <c r="N9" s="2"/>
      <c r="O9" s="2" t="s">
        <v>61</v>
      </c>
      <c r="P9" s="2"/>
      <c r="Q9" s="2"/>
      <c r="R9" s="2" t="s">
        <v>64</v>
      </c>
      <c r="S9" s="2"/>
      <c r="T9" s="2" t="s">
        <v>64</v>
      </c>
      <c r="U9" s="2"/>
      <c r="V9" s="2" t="s">
        <v>57</v>
      </c>
      <c r="W9" s="2"/>
      <c r="X9" s="2"/>
      <c r="Y9" s="2" t="s">
        <v>64</v>
      </c>
      <c r="Z9" s="2"/>
      <c r="AA9" s="2"/>
      <c r="AB9" s="2"/>
      <c r="AC9" s="2" t="s">
        <v>61</v>
      </c>
      <c r="AD9" s="2"/>
      <c r="AE9" s="2"/>
      <c r="AF9" s="2" t="s">
        <v>64</v>
      </c>
      <c r="AG9" s="2"/>
      <c r="AH9" s="9">
        <f>COUNTA(April[[#This Row],[1]:[30]])</f>
        <v>12</v>
      </c>
    </row>
    <row r="10" spans="2:34" ht="30" customHeight="1" x14ac:dyDescent="0.2">
      <c r="B10" s="16" t="s">
        <v>56</v>
      </c>
      <c r="C10" s="2"/>
      <c r="D10" s="2" t="s">
        <v>59</v>
      </c>
      <c r="E10" s="2"/>
      <c r="F10" s="2" t="s">
        <v>59</v>
      </c>
      <c r="G10" s="2"/>
      <c r="H10" s="2" t="s">
        <v>9</v>
      </c>
      <c r="I10" s="2"/>
      <c r="J10" s="2"/>
      <c r="K10" s="2" t="s">
        <v>59</v>
      </c>
      <c r="L10" s="2"/>
      <c r="M10" s="2" t="s">
        <v>59</v>
      </c>
      <c r="N10" s="2"/>
      <c r="O10" s="2" t="s">
        <v>61</v>
      </c>
      <c r="P10" s="2"/>
      <c r="Q10" s="2"/>
      <c r="R10" s="2" t="s">
        <v>64</v>
      </c>
      <c r="S10" s="2"/>
      <c r="T10" s="2" t="s">
        <v>64</v>
      </c>
      <c r="U10" s="2"/>
      <c r="V10" s="2" t="s">
        <v>9</v>
      </c>
      <c r="W10" s="2"/>
      <c r="X10" s="2"/>
      <c r="Y10" s="2" t="s">
        <v>59</v>
      </c>
      <c r="Z10" s="2"/>
      <c r="AA10" s="2" t="s">
        <v>64</v>
      </c>
      <c r="AB10" s="2"/>
      <c r="AC10" s="2" t="s">
        <v>61</v>
      </c>
      <c r="AD10" s="2"/>
      <c r="AE10" s="2"/>
      <c r="AF10" s="2" t="s">
        <v>59</v>
      </c>
      <c r="AG10" s="2"/>
      <c r="AH10" s="9">
        <f>COUNTA(April[[#This Row],[1]:[30]])</f>
        <v>13</v>
      </c>
    </row>
    <row r="11" spans="2:34" ht="30" customHeight="1" x14ac:dyDescent="0.2">
      <c r="B11" s="1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COUNTA(April[[#This Row],[1]:[30]])</f>
        <v>0</v>
      </c>
    </row>
    <row r="12" spans="2:34" ht="30" customHeight="1" x14ac:dyDescent="0.2">
      <c r="B12" s="20" t="str">
        <f>MonthName&amp;" Totaal"</f>
        <v>April Totaal</v>
      </c>
      <c r="C12" s="12">
        <f>SUBTOTAL(103,April[1])</f>
        <v>0</v>
      </c>
      <c r="D12" s="12">
        <f>SUBTOTAL(103,April[2])</f>
        <v>4</v>
      </c>
      <c r="E12" s="12">
        <f>SUBTOTAL(103,April[3])</f>
        <v>0</v>
      </c>
      <c r="F12" s="12">
        <f>SUBTOTAL(103,April[4])</f>
        <v>4</v>
      </c>
      <c r="G12" s="12">
        <f>SUBTOTAL(103,April[5])</f>
        <v>0</v>
      </c>
      <c r="H12" s="12">
        <f>SUBTOTAL(103,April[6])</f>
        <v>4</v>
      </c>
      <c r="I12" s="12">
        <f>SUBTOTAL(103,April[7])</f>
        <v>0</v>
      </c>
      <c r="J12" s="12">
        <f>SUBTOTAL(103,April[8])</f>
        <v>0</v>
      </c>
      <c r="K12" s="12">
        <f>SUBTOTAL(103,April[9])</f>
        <v>4</v>
      </c>
      <c r="L12" s="12">
        <f>SUBTOTAL(103,April[10])</f>
        <v>0</v>
      </c>
      <c r="M12" s="12">
        <f>SUBTOTAL(103,April[11])</f>
        <v>4</v>
      </c>
      <c r="N12" s="12">
        <f>SUBTOTAL(103,April[12])</f>
        <v>0</v>
      </c>
      <c r="O12" s="12">
        <f>SUBTOTAL(103,April[13])</f>
        <v>4</v>
      </c>
      <c r="P12" s="12">
        <f>SUBTOTAL(103,April[14])</f>
        <v>0</v>
      </c>
      <c r="Q12" s="12">
        <f>SUBTOTAL(103,April[15])</f>
        <v>0</v>
      </c>
      <c r="R12" s="12">
        <f>SUBTOTAL(103,April[16])</f>
        <v>4</v>
      </c>
      <c r="S12" s="12">
        <f>SUBTOTAL(103,April[17])</f>
        <v>0</v>
      </c>
      <c r="T12" s="12">
        <f>SUBTOTAL(103,April[18])</f>
        <v>4</v>
      </c>
      <c r="U12" s="12">
        <f>SUBTOTAL(103,April[19])</f>
        <v>1</v>
      </c>
      <c r="V12" s="12">
        <f>SUBTOTAL(103,April[20])</f>
        <v>4</v>
      </c>
      <c r="W12" s="12">
        <f>SUBTOTAL(103,April[21])</f>
        <v>1</v>
      </c>
      <c r="X12" s="12">
        <f>SUBTOTAL(103,April[22])</f>
        <v>1</v>
      </c>
      <c r="Y12" s="12">
        <f>SUBTOTAL(103,April[23])</f>
        <v>4</v>
      </c>
      <c r="Z12" s="12">
        <f>SUBTOTAL(103,April[24])</f>
        <v>1</v>
      </c>
      <c r="AA12" s="12">
        <f>SUBTOTAL(103,April[25])</f>
        <v>3</v>
      </c>
      <c r="AB12" s="12">
        <f>SUBTOTAL(103,April[26])</f>
        <v>0</v>
      </c>
      <c r="AC12" s="12">
        <f>SUBTOTAL(103,April[27])</f>
        <v>4</v>
      </c>
      <c r="AD12" s="12">
        <f>SUBTOTAL(103,April[28])</f>
        <v>0</v>
      </c>
      <c r="AE12" s="12">
        <f>SUBTOTAL(103,April[29])</f>
        <v>0</v>
      </c>
      <c r="AF12" s="12">
        <f>SUBTOTAL(103,April[30])</f>
        <v>4</v>
      </c>
      <c r="AG12" s="12">
        <f>SUBTOTAL(103,April[30])</f>
        <v>4</v>
      </c>
      <c r="AH12" s="12">
        <f>SUBTOTAL(109,April[Totaal aantal dagen])</f>
        <v>55</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699" priority="2" stopIfTrue="1">
      <formula>C7=KeyCustom2</formula>
    </cfRule>
    <cfRule type="expression" dxfId="698" priority="3" stopIfTrue="1">
      <formula>C7=KeyCustom1</formula>
    </cfRule>
    <cfRule type="expression" dxfId="697" priority="4" stopIfTrue="1">
      <formula>C7=KeySick</formula>
    </cfRule>
    <cfRule type="expression" dxfId="696" priority="5" stopIfTrue="1">
      <formula>C7=KeyPersonal</formula>
    </cfRule>
    <cfRule type="expression" dxfId="69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utomatisch bijgewerkt jaar op basis van het jaar dat in het werkblad januari is ingevoerd" sqref="AH4" xr:uid="{00000000-0002-0000-0300-000000000000}"/>
    <dataValidation allowBlank="1" showInputMessage="1" showErrorMessage="1" prompt="Berekent automatisch het totaal aantal dagen die een werknemer in deze maand niet aanwezig was in deze kolom" sqref="AH6" xr:uid="{00000000-0002-0000-0300-000001000000}"/>
    <dataValidation allowBlank="1" showInputMessage="1" showErrorMessage="1" prompt="Houd de afwezigheid in april in dit werkblad bij" sqref="A1" xr:uid="{00000000-0002-0000-0300-000002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300-000003000000}"/>
    <dataValidation allowBlank="1" showInputMessage="1" showErrorMessage="1" prompt="De titel wordt automatisch bijgewerkt in deze cel. Als u de titel wilt wijzigen, werk B1 in het januari-werkblad bij" sqref="B1" xr:uid="{00000000-0002-0000-0300-000004000000}"/>
    <dataValidation allowBlank="1" showInputMessage="1" showErrorMessage="1" prompt="De letter &quot;V&quot; geeft afwezigheid vanwege vakantie aan" sqref="C2" xr:uid="{00000000-0002-0000-0300-000005000000}"/>
    <dataValidation allowBlank="1" showInputMessage="1" showErrorMessage="1" prompt="De letter &quot;P&quot; geeft afwezigheid vanwege persoonlijke redenen aan" sqref="G2" xr:uid="{00000000-0002-0000-0300-000006000000}"/>
    <dataValidation allowBlank="1" showInputMessage="1" showErrorMessage="1" prompt="De letter &quot;Z&quot; geeft afwezigheid vanwege ziekte aan" sqref="K2" xr:uid="{00000000-0002-0000-0300-000007000000}"/>
    <dataValidation allowBlank="1" showInputMessage="1" showErrorMessage="1" prompt="Voer een letter in en pas rechts het label aan om een ander sleutelitem toe te voegen" sqref="N2 R2" xr:uid="{00000000-0002-0000-0300-000008000000}"/>
    <dataValidation allowBlank="1" showInputMessage="1" showErrorMessage="1" prompt="Voer links een label in om de aangepaste sleutel te beschrijven" sqref="O2:Q2 S2:U2" xr:uid="{00000000-0002-0000-0300-000009000000}"/>
    <dataValidation allowBlank="1" showInputMessage="1" showErrorMessage="1" prompt="Deze rij definieert de sleutels die worden gebruikt in de tabel: cel C2 is Vakantie, G2 is Persoonlijk en K2 is Ziekteverlof. De cellen N2 en R2 kunnen worden aangepast" sqref="B2" xr:uid="{00000000-0002-0000-0300-00000A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300-00000B000000}"/>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300-00000C000000}"/>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3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Werknemersnamen!$B$4:$B$8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AH12"/>
  <sheetViews>
    <sheetView showGridLines="0" tabSelected="1" topLeftCell="B1" zoomScaleNormal="100" workbookViewId="0">
      <selection activeCell="F13" sqref="F13"/>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0</v>
      </c>
      <c r="C2" s="3" t="s">
        <v>3</v>
      </c>
      <c r="D2" s="27" t="s">
        <v>5</v>
      </c>
      <c r="E2" s="27"/>
      <c r="F2" s="27"/>
      <c r="G2" s="4" t="s">
        <v>59</v>
      </c>
      <c r="H2" s="28" t="s">
        <v>58</v>
      </c>
      <c r="I2" s="27"/>
      <c r="J2" s="27"/>
      <c r="K2" s="5" t="s">
        <v>9</v>
      </c>
      <c r="L2" s="28" t="s">
        <v>70</v>
      </c>
      <c r="M2" s="27"/>
      <c r="N2" s="24" t="s">
        <v>63</v>
      </c>
      <c r="O2" s="28" t="s">
        <v>62</v>
      </c>
      <c r="P2" s="27"/>
      <c r="Q2" s="27"/>
      <c r="R2" s="7" t="s">
        <v>64</v>
      </c>
      <c r="S2" s="28" t="s">
        <v>60</v>
      </c>
      <c r="T2" s="27"/>
      <c r="U2" s="27"/>
    </row>
    <row r="3" spans="2:34" ht="15" customHeight="1" x14ac:dyDescent="0.2">
      <c r="B3" s="13"/>
    </row>
    <row r="4" spans="2:34" ht="30" customHeight="1" x14ac:dyDescent="0.2">
      <c r="B4" s="11" t="s">
        <v>52</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TEXT(WEEKDAY(DATE(CalendarYear,5,1),1),"aaa")</f>
        <v>vr</v>
      </c>
      <c r="D5" s="1" t="str">
        <f>TEXT(WEEKDAY(DATE(CalendarYear,5,2),1),"aaa")</f>
        <v>za</v>
      </c>
      <c r="E5" s="1" t="str">
        <f>TEXT(WEEKDAY(DATE(CalendarYear,5,3),1),"aaa")</f>
        <v>zo</v>
      </c>
      <c r="F5" s="1" t="str">
        <f>TEXT(WEEKDAY(DATE(CalendarYear,5,4),1),"aaa")</f>
        <v>ma</v>
      </c>
      <c r="G5" s="1" t="str">
        <f>TEXT(WEEKDAY(DATE(CalendarYear,5,5),1),"aaa")</f>
        <v>di</v>
      </c>
      <c r="H5" s="1" t="str">
        <f>TEXT(WEEKDAY(DATE(CalendarYear,5,6),1),"aaa")</f>
        <v>wo</v>
      </c>
      <c r="I5" s="1" t="str">
        <f>TEXT(WEEKDAY(DATE(CalendarYear,5,7),1),"aaa")</f>
        <v>do</v>
      </c>
      <c r="J5" s="1" t="str">
        <f>TEXT(WEEKDAY(DATE(CalendarYear,5,8),1),"aaa")</f>
        <v>vr</v>
      </c>
      <c r="K5" s="1" t="str">
        <f>TEXT(WEEKDAY(DATE(CalendarYear,5,9),1),"aaa")</f>
        <v>za</v>
      </c>
      <c r="L5" s="1" t="str">
        <f>TEXT(WEEKDAY(DATE(CalendarYear,5,10),1),"aaa")</f>
        <v>zo</v>
      </c>
      <c r="M5" s="1" t="str">
        <f>TEXT(WEEKDAY(DATE(CalendarYear,5,11),1),"aaa")</f>
        <v>ma</v>
      </c>
      <c r="N5" s="1" t="str">
        <f>TEXT(WEEKDAY(DATE(CalendarYear,5,12),1),"aaa")</f>
        <v>di</v>
      </c>
      <c r="O5" s="1" t="str">
        <f>TEXT(WEEKDAY(DATE(CalendarYear,5,13),1),"aaa")</f>
        <v>wo</v>
      </c>
      <c r="P5" s="1" t="str">
        <f>TEXT(WEEKDAY(DATE(CalendarYear,5,14),1),"aaa")</f>
        <v>do</v>
      </c>
      <c r="Q5" s="1" t="str">
        <f>TEXT(WEEKDAY(DATE(CalendarYear,5,15),1),"aaa")</f>
        <v>vr</v>
      </c>
      <c r="R5" s="1" t="str">
        <f>TEXT(WEEKDAY(DATE(CalendarYear,5,16),1),"aaa")</f>
        <v>za</v>
      </c>
      <c r="S5" s="1" t="str">
        <f>TEXT(WEEKDAY(DATE(CalendarYear,5,17),1),"aaa")</f>
        <v>zo</v>
      </c>
      <c r="T5" s="1" t="str">
        <f>TEXT(WEEKDAY(DATE(CalendarYear,5,18),1),"aaa")</f>
        <v>ma</v>
      </c>
      <c r="U5" s="1" t="str">
        <f>TEXT(WEEKDAY(DATE(CalendarYear,5,19),1),"aaa")</f>
        <v>di</v>
      </c>
      <c r="V5" s="1" t="str">
        <f>TEXT(WEEKDAY(DATE(CalendarYear,5,20),1),"aaa")</f>
        <v>wo</v>
      </c>
      <c r="W5" s="1" t="str">
        <f>TEXT(WEEKDAY(DATE(CalendarYear,5,21),1),"aaa")</f>
        <v>do</v>
      </c>
      <c r="X5" s="1" t="str">
        <f>TEXT(WEEKDAY(DATE(CalendarYear,5,22),1),"aaa")</f>
        <v>vr</v>
      </c>
      <c r="Y5" s="1" t="str">
        <f>TEXT(WEEKDAY(DATE(CalendarYear,5,23),1),"aaa")</f>
        <v>za</v>
      </c>
      <c r="Z5" s="1" t="str">
        <f>TEXT(WEEKDAY(DATE(CalendarYear,5,24),1),"aaa")</f>
        <v>zo</v>
      </c>
      <c r="AA5" s="1" t="str">
        <f>TEXT(WEEKDAY(DATE(CalendarYear,5,25),1),"aaa")</f>
        <v>ma</v>
      </c>
      <c r="AB5" s="1" t="str">
        <f>TEXT(WEEKDAY(DATE(CalendarYear,5,26),1),"aaa")</f>
        <v>di</v>
      </c>
      <c r="AC5" s="1" t="str">
        <f>TEXT(WEEKDAY(DATE(CalendarYear,5,27),1),"aaa")</f>
        <v>wo</v>
      </c>
      <c r="AD5" s="1" t="str">
        <f>TEXT(WEEKDAY(DATE(CalendarYear,5,28),1),"aaa")</f>
        <v>do</v>
      </c>
      <c r="AE5" s="1" t="str">
        <f>TEXT(WEEKDAY(DATE(CalendarYear,5,29),1),"aaa")</f>
        <v>vr</v>
      </c>
      <c r="AF5" s="1" t="str">
        <f>TEXT(WEEKDAY(DATE(CalendarYear,5,30),1),"aaa")</f>
        <v>za</v>
      </c>
      <c r="AG5" s="1" t="str">
        <f>TEXT(WEEKDAY(DATE(CalendarYear,5,31),1),"aaa")</f>
        <v>zo</v>
      </c>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 t="s">
        <v>36</v>
      </c>
      <c r="AH6" s="15" t="s">
        <v>38</v>
      </c>
    </row>
    <row r="7" spans="2:34" ht="30" customHeight="1" x14ac:dyDescent="0.2">
      <c r="B7" s="16" t="s">
        <v>53</v>
      </c>
      <c r="C7" s="2" t="s">
        <v>3</v>
      </c>
      <c r="D7" s="2" t="s">
        <v>3</v>
      </c>
      <c r="E7" s="2" t="s">
        <v>3</v>
      </c>
      <c r="F7" s="2" t="s">
        <v>3</v>
      </c>
      <c r="G7" s="2" t="s">
        <v>3</v>
      </c>
      <c r="H7" s="2" t="s">
        <v>3</v>
      </c>
      <c r="I7" s="2" t="s">
        <v>59</v>
      </c>
      <c r="J7" s="2" t="s">
        <v>3</v>
      </c>
      <c r="K7" s="2" t="s">
        <v>3</v>
      </c>
      <c r="L7" s="2" t="s">
        <v>3</v>
      </c>
      <c r="M7" s="2" t="s">
        <v>59</v>
      </c>
      <c r="N7" s="2"/>
      <c r="O7" s="2"/>
      <c r="P7" s="2" t="s">
        <v>59</v>
      </c>
      <c r="Q7" s="2"/>
      <c r="R7" s="2" t="s">
        <v>9</v>
      </c>
      <c r="S7" s="2"/>
      <c r="T7" s="2" t="s">
        <v>59</v>
      </c>
      <c r="U7" s="2"/>
      <c r="V7" s="2"/>
      <c r="W7" s="25" t="s">
        <v>63</v>
      </c>
      <c r="X7" s="2"/>
      <c r="Y7" s="2" t="s">
        <v>9</v>
      </c>
      <c r="Z7" s="2"/>
      <c r="AA7" s="2" t="s">
        <v>59</v>
      </c>
      <c r="AB7" s="2"/>
      <c r="AC7" s="2"/>
      <c r="AD7" s="2" t="s">
        <v>64</v>
      </c>
      <c r="AE7" s="2" t="s">
        <v>3</v>
      </c>
      <c r="AF7" s="2" t="s">
        <v>3</v>
      </c>
      <c r="AG7" s="2" t="s">
        <v>3</v>
      </c>
      <c r="AH7" s="9">
        <f>COUNTA(Mei[[#This Row],[1]:[31]])</f>
        <v>21</v>
      </c>
    </row>
    <row r="8" spans="2:34" ht="30" customHeight="1" x14ac:dyDescent="0.2">
      <c r="B8" s="16" t="s">
        <v>54</v>
      </c>
      <c r="C8" s="2"/>
      <c r="D8" s="2" t="s">
        <v>9</v>
      </c>
      <c r="E8" s="2"/>
      <c r="F8" s="2" t="s">
        <v>9</v>
      </c>
      <c r="G8" s="2"/>
      <c r="H8" s="2"/>
      <c r="I8" s="2" t="s">
        <v>59</v>
      </c>
      <c r="J8" s="2"/>
      <c r="K8" s="2" t="s">
        <v>9</v>
      </c>
      <c r="L8" s="2"/>
      <c r="M8" s="2" t="s">
        <v>59</v>
      </c>
      <c r="N8" s="2"/>
      <c r="O8" s="2"/>
      <c r="P8" s="2" t="s">
        <v>59</v>
      </c>
      <c r="Q8" s="2"/>
      <c r="R8" s="2" t="s">
        <v>9</v>
      </c>
      <c r="S8" s="2"/>
      <c r="T8" s="2" t="s">
        <v>59</v>
      </c>
      <c r="U8" s="2"/>
      <c r="V8" s="2"/>
      <c r="W8" s="25" t="s">
        <v>63</v>
      </c>
      <c r="X8" s="2"/>
      <c r="Y8" s="2" t="s">
        <v>9</v>
      </c>
      <c r="Z8" s="2"/>
      <c r="AA8" s="2" t="s">
        <v>59</v>
      </c>
      <c r="AB8" s="2"/>
      <c r="AC8" s="2"/>
      <c r="AD8" s="2" t="s">
        <v>64</v>
      </c>
      <c r="AE8" s="2"/>
      <c r="AF8" s="2" t="s">
        <v>9</v>
      </c>
      <c r="AG8" s="2"/>
      <c r="AH8" s="9">
        <f>COUNTA(Mei[[#This Row],[1]:[31]])</f>
        <v>13</v>
      </c>
    </row>
    <row r="9" spans="2:34" ht="30" customHeight="1" x14ac:dyDescent="0.2">
      <c r="B9" s="16" t="s">
        <v>55</v>
      </c>
      <c r="C9" s="2"/>
      <c r="D9" s="2" t="s">
        <v>9</v>
      </c>
      <c r="E9" s="2"/>
      <c r="F9" s="2" t="s">
        <v>9</v>
      </c>
      <c r="G9" s="2"/>
      <c r="H9" s="2"/>
      <c r="I9" s="2" t="s">
        <v>64</v>
      </c>
      <c r="J9" s="2"/>
      <c r="K9" s="2" t="s">
        <v>57</v>
      </c>
      <c r="L9" s="2" t="s">
        <v>57</v>
      </c>
      <c r="M9" s="2" t="s">
        <v>57</v>
      </c>
      <c r="N9" s="2" t="s">
        <v>57</v>
      </c>
      <c r="O9" s="2" t="s">
        <v>57</v>
      </c>
      <c r="P9" s="2" t="s">
        <v>57</v>
      </c>
      <c r="Q9" s="2" t="s">
        <v>57</v>
      </c>
      <c r="R9" s="2" t="s">
        <v>57</v>
      </c>
      <c r="S9" s="2" t="s">
        <v>57</v>
      </c>
      <c r="T9" s="2" t="s">
        <v>57</v>
      </c>
      <c r="U9" s="2" t="s">
        <v>57</v>
      </c>
      <c r="V9" s="2" t="s">
        <v>57</v>
      </c>
      <c r="W9" s="2" t="s">
        <v>57</v>
      </c>
      <c r="X9" s="2" t="s">
        <v>57</v>
      </c>
      <c r="Y9" s="2" t="s">
        <v>57</v>
      </c>
      <c r="Z9" s="2" t="s">
        <v>57</v>
      </c>
      <c r="AA9" s="2" t="s">
        <v>64</v>
      </c>
      <c r="AB9" s="2"/>
      <c r="AC9" s="2"/>
      <c r="AD9" s="2" t="s">
        <v>64</v>
      </c>
      <c r="AE9" s="2"/>
      <c r="AF9" s="2" t="s">
        <v>9</v>
      </c>
      <c r="AG9" s="2"/>
      <c r="AH9" s="9">
        <f>COUNTA(Mei[[#This Row],[1]:[31]])</f>
        <v>22</v>
      </c>
    </row>
    <row r="10" spans="2:34" ht="30" customHeight="1" x14ac:dyDescent="0.2">
      <c r="B10" s="16" t="s">
        <v>56</v>
      </c>
      <c r="C10" s="2"/>
      <c r="D10" s="2" t="s">
        <v>9</v>
      </c>
      <c r="E10" s="2"/>
      <c r="F10" s="2" t="s">
        <v>9</v>
      </c>
      <c r="G10" s="2"/>
      <c r="H10" s="2"/>
      <c r="I10" s="2" t="s">
        <v>59</v>
      </c>
      <c r="J10" s="2"/>
      <c r="K10" s="2" t="s">
        <v>9</v>
      </c>
      <c r="L10" s="2"/>
      <c r="M10" s="2" t="s">
        <v>59</v>
      </c>
      <c r="N10" s="2"/>
      <c r="O10" s="2"/>
      <c r="P10" s="2" t="s">
        <v>59</v>
      </c>
      <c r="Q10" s="2"/>
      <c r="R10" s="2" t="s">
        <v>9</v>
      </c>
      <c r="S10" s="2"/>
      <c r="T10" s="2" t="s">
        <v>59</v>
      </c>
      <c r="U10" s="2"/>
      <c r="V10" s="2"/>
      <c r="W10" s="25" t="s">
        <v>63</v>
      </c>
      <c r="X10" s="2"/>
      <c r="Y10" s="2" t="s">
        <v>57</v>
      </c>
      <c r="Z10" s="2"/>
      <c r="AA10" s="2" t="s">
        <v>59</v>
      </c>
      <c r="AB10" s="2"/>
      <c r="AC10" s="2"/>
      <c r="AD10" s="2" t="s">
        <v>64</v>
      </c>
      <c r="AE10" s="2"/>
      <c r="AF10" s="2" t="s">
        <v>9</v>
      </c>
      <c r="AG10" s="2"/>
      <c r="AH10" s="9">
        <f>COUNTA(Mei[[#This Row],[1]:[31]])</f>
        <v>13</v>
      </c>
    </row>
    <row r="11" spans="2:34" ht="30" customHeight="1" x14ac:dyDescent="0.2">
      <c r="B11" s="1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COUNTA(Mei[[#This Row],[1]:[31]])</f>
        <v>0</v>
      </c>
    </row>
    <row r="12" spans="2:34" ht="30" customHeight="1" x14ac:dyDescent="0.2">
      <c r="B12" s="20" t="str">
        <f>MonthName&amp;" Totaal"</f>
        <v>Mei Totaal</v>
      </c>
      <c r="C12" s="12">
        <f>SUBTOTAL(103,Mei[1])</f>
        <v>1</v>
      </c>
      <c r="D12" s="12">
        <f>SUBTOTAL(103,Mei[2])</f>
        <v>4</v>
      </c>
      <c r="E12" s="12">
        <f>SUBTOTAL(103,Mei[3])</f>
        <v>1</v>
      </c>
      <c r="F12" s="12">
        <f>SUBTOTAL(103,Mei[4])</f>
        <v>4</v>
      </c>
      <c r="G12" s="12">
        <f>SUBTOTAL(103,Mei[5])</f>
        <v>1</v>
      </c>
      <c r="H12" s="12">
        <f>SUBTOTAL(103,Mei[6])</f>
        <v>1</v>
      </c>
      <c r="I12" s="12">
        <f>SUBTOTAL(103,Mei[7])</f>
        <v>4</v>
      </c>
      <c r="J12" s="12">
        <f>SUBTOTAL(103,Mei[8])</f>
        <v>1</v>
      </c>
      <c r="K12" s="12">
        <f>SUBTOTAL(103,Mei[9])</f>
        <v>4</v>
      </c>
      <c r="L12" s="12">
        <f>SUBTOTAL(103,Mei[10])</f>
        <v>2</v>
      </c>
      <c r="M12" s="12">
        <f>SUBTOTAL(103,Mei[11])</f>
        <v>4</v>
      </c>
      <c r="N12" s="12">
        <f>SUBTOTAL(103,Mei[12])</f>
        <v>1</v>
      </c>
      <c r="O12" s="12">
        <f>SUBTOTAL(103,Mei[13])</f>
        <v>1</v>
      </c>
      <c r="P12" s="12">
        <f>SUBTOTAL(103,Mei[14])</f>
        <v>4</v>
      </c>
      <c r="Q12" s="12">
        <f>SUBTOTAL(103,Mei[15])</f>
        <v>1</v>
      </c>
      <c r="R12" s="12">
        <f>SUBTOTAL(103,Mei[16])</f>
        <v>4</v>
      </c>
      <c r="S12" s="12">
        <f>SUBTOTAL(103,Mei[17])</f>
        <v>1</v>
      </c>
      <c r="T12" s="12">
        <f>SUBTOTAL(103,Mei[18])</f>
        <v>4</v>
      </c>
      <c r="U12" s="12">
        <f>SUBTOTAL(103,Mei[19])</f>
        <v>1</v>
      </c>
      <c r="V12" s="12">
        <f>SUBTOTAL(103,Mei[20])</f>
        <v>1</v>
      </c>
      <c r="W12" s="12">
        <f>SUBTOTAL(103,Mei[21])</f>
        <v>4</v>
      </c>
      <c r="X12" s="12">
        <f>SUBTOTAL(103,Mei[22])</f>
        <v>1</v>
      </c>
      <c r="Y12" s="12">
        <f>SUBTOTAL(103,Mei[23])</f>
        <v>4</v>
      </c>
      <c r="Z12" s="12">
        <f>SUBTOTAL(103,Mei[24])</f>
        <v>1</v>
      </c>
      <c r="AA12" s="12">
        <f>SUBTOTAL(103,Mei[25])</f>
        <v>4</v>
      </c>
      <c r="AB12" s="12">
        <f>SUBTOTAL(103,Mei[26])</f>
        <v>0</v>
      </c>
      <c r="AC12" s="12">
        <f>SUBTOTAL(103,Mei[27])</f>
        <v>0</v>
      </c>
      <c r="AD12" s="12">
        <f>SUBTOTAL(103,Mei[28])</f>
        <v>4</v>
      </c>
      <c r="AE12" s="12">
        <f>SUBTOTAL(103,Mei[29])</f>
        <v>1</v>
      </c>
      <c r="AF12" s="12">
        <f>SUBTOTAL(103,Mei[30])</f>
        <v>4</v>
      </c>
      <c r="AG12" s="12">
        <f>SUBTOTAL(103,Mei[31])</f>
        <v>1</v>
      </c>
      <c r="AH12" s="12">
        <f>SUBTOTAL(109,Mei[Totaal aantal dagen])</f>
        <v>69</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658" priority="2" stopIfTrue="1">
      <formula>C7=KeyCustom2</formula>
    </cfRule>
    <cfRule type="expression" dxfId="657" priority="3" stopIfTrue="1">
      <formula>C7=KeyCustom1</formula>
    </cfRule>
    <cfRule type="expression" dxfId="656" priority="4" stopIfTrue="1">
      <formula>C7=KeySick</formula>
    </cfRule>
    <cfRule type="expression" dxfId="655" priority="5" stopIfTrue="1">
      <formula>C7=KeyPersonal</formula>
    </cfRule>
    <cfRule type="expression" dxfId="654"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400-000000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400-000001000000}"/>
    <dataValidation allowBlank="1" showInputMessage="1" showErrorMessage="1" prompt="Deze rij definieert de sleutels die worden gebruikt in de tabel: cel C2 is Vakantie, G2 is Persoonlijk en K2 is Ziekteverlof. De cellen N2 en R2 kunnen worden aangepast" sqref="B2" xr:uid="{00000000-0002-0000-0400-000002000000}"/>
    <dataValidation allowBlank="1" showInputMessage="1" showErrorMessage="1" prompt="Voer links een label in om de aangepaste sleutel te beschrijven" sqref="O2:Q2 S2:U2" xr:uid="{00000000-0002-0000-0400-000003000000}"/>
    <dataValidation allowBlank="1" showInputMessage="1" showErrorMessage="1" prompt="Voer een letter in en pas rechts het label aan om een ander sleutelitem toe te voegen" sqref="N2 R2" xr:uid="{00000000-0002-0000-0400-000004000000}"/>
    <dataValidation allowBlank="1" showInputMessage="1" showErrorMessage="1" prompt="De letter &quot;Z&quot; geeft afwezigheid vanwege ziekte aan" sqref="K2" xr:uid="{00000000-0002-0000-0400-000005000000}"/>
    <dataValidation allowBlank="1" showInputMessage="1" showErrorMessage="1" prompt="De letter &quot;P&quot; geeft afwezigheid vanwege persoonlijke redenen aan" sqref="G2" xr:uid="{00000000-0002-0000-0400-000006000000}"/>
    <dataValidation allowBlank="1" showInputMessage="1" showErrorMessage="1" prompt="De letter &quot;V&quot; geeft afwezigheid vanwege vakantie aan" sqref="C2" xr:uid="{00000000-0002-0000-0400-000007000000}"/>
    <dataValidation allowBlank="1" showInputMessage="1" showErrorMessage="1" prompt="De titel wordt automatisch bijgewerkt in deze cel. Als u de titel wilt wijzigen, werk B1 in het januari-werkblad bij" sqref="B1" xr:uid="{00000000-0002-0000-0400-000008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400-000009000000}"/>
    <dataValidation allowBlank="1" showInputMessage="1" showErrorMessage="1" prompt="Houd de afwezigheid in mei in dit werkblad bij" sqref="A1" xr:uid="{00000000-0002-0000-0400-00000A000000}"/>
    <dataValidation allowBlank="1" showInputMessage="1" showErrorMessage="1" prompt="Berekent automatisch het totaal aantal dagen die een werknemer in deze maand niet aanwezig was in deze kolom" sqref="AH6" xr:uid="{00000000-0002-0000-0400-00000B000000}"/>
    <dataValidation allowBlank="1" showInputMessage="1" showErrorMessage="1" prompt="Automatisch bijgewerkt jaar op basis van het jaar dat in het werkblad januari is ingevoerd" sqref="AH4" xr:uid="{00000000-0002-0000-0400-00000C000000}"/>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4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Werknemersnamen!$B$4:$B$8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pageSetUpPr fitToPage="1"/>
  </sheetPr>
  <dimension ref="A1:AH12"/>
  <sheetViews>
    <sheetView showGridLines="0" zoomScaleNormal="100" workbookViewId="0">
      <selection activeCell="K13" sqref="K13"/>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0</v>
      </c>
      <c r="C2" s="3" t="s">
        <v>3</v>
      </c>
      <c r="D2" s="27" t="s">
        <v>5</v>
      </c>
      <c r="E2" s="27"/>
      <c r="F2" s="27"/>
      <c r="G2" s="4" t="s">
        <v>59</v>
      </c>
      <c r="H2" s="28" t="s">
        <v>58</v>
      </c>
      <c r="I2" s="27"/>
      <c r="J2" s="27"/>
      <c r="K2" s="5" t="s">
        <v>9</v>
      </c>
      <c r="L2" s="28" t="s">
        <v>70</v>
      </c>
      <c r="M2" s="27"/>
      <c r="N2" s="6" t="s">
        <v>61</v>
      </c>
      <c r="O2" s="28" t="s">
        <v>62</v>
      </c>
      <c r="P2" s="27"/>
      <c r="Q2" s="27"/>
      <c r="R2" s="7" t="s">
        <v>64</v>
      </c>
      <c r="S2" s="28" t="s">
        <v>60</v>
      </c>
      <c r="T2" s="27"/>
      <c r="U2" s="27"/>
    </row>
    <row r="3" spans="2:34" ht="15" customHeight="1" x14ac:dyDescent="0.2">
      <c r="B3" s="13"/>
    </row>
    <row r="4" spans="2:34" ht="30" customHeight="1" x14ac:dyDescent="0.2">
      <c r="B4" s="11" t="s">
        <v>44</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TEXT(WEEKDAY(DATE(CalendarYear,6,1),1),"aaa")</f>
        <v>ma</v>
      </c>
      <c r="D5" s="1" t="str">
        <f>TEXT(WEEKDAY(DATE(CalendarYear,6,2),1),"aaa")</f>
        <v>di</v>
      </c>
      <c r="E5" s="1" t="str">
        <f>TEXT(WEEKDAY(DATE(CalendarYear,6,3),1),"aaa")</f>
        <v>wo</v>
      </c>
      <c r="F5" s="1" t="str">
        <f>TEXT(WEEKDAY(DATE(CalendarYear,6,4),1),"aaa")</f>
        <v>do</v>
      </c>
      <c r="G5" s="1" t="str">
        <f>TEXT(WEEKDAY(DATE(CalendarYear,6,5),1),"aaa")</f>
        <v>vr</v>
      </c>
      <c r="H5" s="1" t="str">
        <f>TEXT(WEEKDAY(DATE(CalendarYear,6,6),1),"aaa")</f>
        <v>za</v>
      </c>
      <c r="I5" s="1" t="str">
        <f>TEXT(WEEKDAY(DATE(CalendarYear,6,7),1),"aaa")</f>
        <v>zo</v>
      </c>
      <c r="J5" s="1" t="str">
        <f>TEXT(WEEKDAY(DATE(CalendarYear,6,8),1),"aaa")</f>
        <v>ma</v>
      </c>
      <c r="K5" s="1" t="str">
        <f>TEXT(WEEKDAY(DATE(CalendarYear,6,9),1),"aaa")</f>
        <v>di</v>
      </c>
      <c r="L5" s="1" t="str">
        <f>TEXT(WEEKDAY(DATE(CalendarYear,6,10),1),"aaa")</f>
        <v>wo</v>
      </c>
      <c r="M5" s="1" t="str">
        <f>TEXT(WEEKDAY(DATE(CalendarYear,6,11),1),"aaa")</f>
        <v>do</v>
      </c>
      <c r="N5" s="1" t="str">
        <f>TEXT(WEEKDAY(DATE(CalendarYear,6,12),1),"aaa")</f>
        <v>vr</v>
      </c>
      <c r="O5" s="1" t="str">
        <f>TEXT(WEEKDAY(DATE(CalendarYear,6,13),1),"aaa")</f>
        <v>za</v>
      </c>
      <c r="P5" s="1" t="str">
        <f>TEXT(WEEKDAY(DATE(CalendarYear,6,14),1),"aaa")</f>
        <v>zo</v>
      </c>
      <c r="Q5" s="1" t="str">
        <f>TEXT(WEEKDAY(DATE(CalendarYear,6,15),1),"aaa")</f>
        <v>ma</v>
      </c>
      <c r="R5" s="1" t="str">
        <f>TEXT(WEEKDAY(DATE(CalendarYear,6,16),1),"aaa")</f>
        <v>di</v>
      </c>
      <c r="S5" s="1" t="str">
        <f>TEXT(WEEKDAY(DATE(CalendarYear,6,17),1),"aaa")</f>
        <v>wo</v>
      </c>
      <c r="T5" s="1" t="str">
        <f>TEXT(WEEKDAY(DATE(CalendarYear,6,18),1),"aaa")</f>
        <v>do</v>
      </c>
      <c r="U5" s="1" t="str">
        <f>TEXT(WEEKDAY(DATE(CalendarYear,6,19),1),"aaa")</f>
        <v>vr</v>
      </c>
      <c r="V5" s="1" t="str">
        <f>TEXT(WEEKDAY(DATE(CalendarYear,6,20),1),"aaa")</f>
        <v>za</v>
      </c>
      <c r="W5" s="1" t="str">
        <f>TEXT(WEEKDAY(DATE(CalendarYear,6,21),1),"aaa")</f>
        <v>zo</v>
      </c>
      <c r="X5" s="1" t="str">
        <f>TEXT(WEEKDAY(DATE(CalendarYear,6,22),1),"aaa")</f>
        <v>ma</v>
      </c>
      <c r="Y5" s="1" t="str">
        <f>TEXT(WEEKDAY(DATE(CalendarYear,6,23),1),"aaa")</f>
        <v>di</v>
      </c>
      <c r="Z5" s="1" t="str">
        <f>TEXT(WEEKDAY(DATE(CalendarYear,6,24),1),"aaa")</f>
        <v>wo</v>
      </c>
      <c r="AA5" s="1" t="str">
        <f>TEXT(WEEKDAY(DATE(CalendarYear,6,25),1),"aaa")</f>
        <v>do</v>
      </c>
      <c r="AB5" s="1" t="str">
        <f>TEXT(WEEKDAY(DATE(CalendarYear,6,26),1),"aaa")</f>
        <v>vr</v>
      </c>
      <c r="AC5" s="1" t="str">
        <f>TEXT(WEEKDAY(DATE(CalendarYear,6,27),1),"aaa")</f>
        <v>za</v>
      </c>
      <c r="AD5" s="1" t="str">
        <f>TEXT(WEEKDAY(DATE(CalendarYear,6,28),1),"aaa")</f>
        <v>zo</v>
      </c>
      <c r="AE5" s="1" t="str">
        <f>TEXT(WEEKDAY(DATE(CalendarYear,6,29),1),"aaa")</f>
        <v>ma</v>
      </c>
      <c r="AF5" s="1" t="str">
        <f>TEXT(WEEKDAY(DATE(CalendarYear,6,30),1),"aaa")</f>
        <v>di</v>
      </c>
      <c r="AG5" s="1"/>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 t="s">
        <v>40</v>
      </c>
      <c r="AH6" s="15" t="s">
        <v>38</v>
      </c>
    </row>
    <row r="7" spans="2:34" ht="30" customHeight="1" x14ac:dyDescent="0.2">
      <c r="B7" s="16" t="s">
        <v>53</v>
      </c>
      <c r="C7" s="2" t="s">
        <v>3</v>
      </c>
      <c r="D7" s="2" t="s">
        <v>3</v>
      </c>
      <c r="E7" s="2" t="s">
        <v>3</v>
      </c>
      <c r="F7" s="2" t="s">
        <v>3</v>
      </c>
      <c r="G7" s="2" t="s">
        <v>3</v>
      </c>
      <c r="H7" s="2" t="s">
        <v>3</v>
      </c>
      <c r="I7" s="2" t="s">
        <v>3</v>
      </c>
      <c r="J7" s="2" t="s">
        <v>64</v>
      </c>
      <c r="K7" s="2"/>
      <c r="L7" s="2"/>
      <c r="M7" s="2" t="s">
        <v>64</v>
      </c>
      <c r="N7" s="2"/>
      <c r="O7" s="2" t="s">
        <v>9</v>
      </c>
      <c r="P7" s="2"/>
      <c r="Q7" s="2" t="s">
        <v>59</v>
      </c>
      <c r="R7" s="2"/>
      <c r="S7" s="2"/>
      <c r="T7" s="2" t="s">
        <v>64</v>
      </c>
      <c r="U7" s="2"/>
      <c r="V7" s="2" t="s">
        <v>9</v>
      </c>
      <c r="W7" s="2"/>
      <c r="X7" s="2" t="s">
        <v>59</v>
      </c>
      <c r="Y7" s="2"/>
      <c r="Z7" s="2"/>
      <c r="AA7" s="2" t="s">
        <v>64</v>
      </c>
      <c r="AB7" s="2"/>
      <c r="AC7" s="2" t="s">
        <v>9</v>
      </c>
      <c r="AD7" s="2"/>
      <c r="AE7" s="2" t="s">
        <v>59</v>
      </c>
      <c r="AF7" s="2"/>
      <c r="AG7" s="2"/>
      <c r="AH7" s="9">
        <f>COUNTA(Juni[[#This Row],[1]:[30]])</f>
        <v>17</v>
      </c>
    </row>
    <row r="8" spans="2:34" ht="30" customHeight="1" x14ac:dyDescent="0.2">
      <c r="B8" s="16" t="s">
        <v>54</v>
      </c>
      <c r="C8" s="2" t="s">
        <v>61</v>
      </c>
      <c r="D8" s="2"/>
      <c r="E8" s="2"/>
      <c r="F8" s="2"/>
      <c r="G8" s="2"/>
      <c r="H8" s="2" t="s">
        <v>9</v>
      </c>
      <c r="I8" s="2"/>
      <c r="J8" s="2" t="s">
        <v>59</v>
      </c>
      <c r="K8" s="2" t="s">
        <v>57</v>
      </c>
      <c r="L8" s="2" t="s">
        <v>57</v>
      </c>
      <c r="M8" s="2" t="s">
        <v>57</v>
      </c>
      <c r="N8" s="2" t="s">
        <v>57</v>
      </c>
      <c r="O8" s="2" t="s">
        <v>57</v>
      </c>
      <c r="P8" s="2" t="s">
        <v>57</v>
      </c>
      <c r="Q8" s="2" t="s">
        <v>57</v>
      </c>
      <c r="R8" s="2" t="s">
        <v>57</v>
      </c>
      <c r="S8" s="2" t="s">
        <v>57</v>
      </c>
      <c r="T8" s="2" t="s">
        <v>57</v>
      </c>
      <c r="U8" s="2" t="s">
        <v>57</v>
      </c>
      <c r="V8" s="2" t="s">
        <v>57</v>
      </c>
      <c r="W8" s="2" t="s">
        <v>57</v>
      </c>
      <c r="X8" s="2" t="s">
        <v>59</v>
      </c>
      <c r="Y8" s="2" t="s">
        <v>57</v>
      </c>
      <c r="Z8" s="2" t="s">
        <v>57</v>
      </c>
      <c r="AA8" s="2" t="s">
        <v>57</v>
      </c>
      <c r="AB8" s="2" t="s">
        <v>57</v>
      </c>
      <c r="AC8" s="2" t="s">
        <v>57</v>
      </c>
      <c r="AD8" s="2" t="s">
        <v>57</v>
      </c>
      <c r="AE8" s="2" t="s">
        <v>59</v>
      </c>
      <c r="AF8" s="2"/>
      <c r="AG8" s="2"/>
      <c r="AH8" s="9">
        <f>COUNTA(Juni[[#This Row],[1]:[30]])</f>
        <v>24</v>
      </c>
    </row>
    <row r="9" spans="2:34" ht="30" customHeight="1" x14ac:dyDescent="0.2">
      <c r="B9" s="16" t="s">
        <v>55</v>
      </c>
      <c r="C9" s="2" t="s">
        <v>61</v>
      </c>
      <c r="D9" s="2"/>
      <c r="E9" s="2"/>
      <c r="F9" s="2"/>
      <c r="G9" s="2"/>
      <c r="H9" s="2" t="s">
        <v>9</v>
      </c>
      <c r="I9" s="2"/>
      <c r="J9" s="2" t="s">
        <v>59</v>
      </c>
      <c r="K9" s="2"/>
      <c r="L9" s="2"/>
      <c r="M9" s="2" t="s">
        <v>64</v>
      </c>
      <c r="N9" s="2"/>
      <c r="O9" s="2" t="s">
        <v>9</v>
      </c>
      <c r="P9" s="2"/>
      <c r="Q9" s="2" t="s">
        <v>59</v>
      </c>
      <c r="R9" s="2"/>
      <c r="S9" s="2"/>
      <c r="T9" s="2" t="s">
        <v>64</v>
      </c>
      <c r="U9" s="2"/>
      <c r="V9" s="2" t="s">
        <v>9</v>
      </c>
      <c r="W9" s="2"/>
      <c r="X9" s="2" t="s">
        <v>64</v>
      </c>
      <c r="Y9" s="2"/>
      <c r="Z9" s="2"/>
      <c r="AA9" s="2" t="s">
        <v>64</v>
      </c>
      <c r="AB9" s="2"/>
      <c r="AC9" s="2" t="s">
        <v>9</v>
      </c>
      <c r="AD9" s="2"/>
      <c r="AE9" s="2" t="s">
        <v>64</v>
      </c>
      <c r="AF9" s="2"/>
      <c r="AG9" s="2"/>
      <c r="AH9" s="9">
        <f>COUNTA(Juni[[#This Row],[1]:[30]])</f>
        <v>12</v>
      </c>
    </row>
    <row r="10" spans="2:34" ht="30" customHeight="1" x14ac:dyDescent="0.2">
      <c r="B10" s="16" t="s">
        <v>56</v>
      </c>
      <c r="C10" s="2" t="s">
        <v>61</v>
      </c>
      <c r="D10" s="2"/>
      <c r="E10" s="2"/>
      <c r="F10" s="2"/>
      <c r="G10" s="2"/>
      <c r="H10" s="2" t="s">
        <v>9</v>
      </c>
      <c r="I10" s="2"/>
      <c r="J10" s="2" t="s">
        <v>59</v>
      </c>
      <c r="K10" s="2"/>
      <c r="L10" s="2"/>
      <c r="M10" s="2" t="s">
        <v>64</v>
      </c>
      <c r="N10" s="2"/>
      <c r="O10" s="2" t="s">
        <v>9</v>
      </c>
      <c r="P10" s="2"/>
      <c r="Q10" s="2" t="s">
        <v>59</v>
      </c>
      <c r="R10" s="2"/>
      <c r="S10" s="2"/>
      <c r="T10" s="2" t="s">
        <v>57</v>
      </c>
      <c r="U10" s="2" t="s">
        <v>57</v>
      </c>
      <c r="V10" s="2" t="s">
        <v>57</v>
      </c>
      <c r="W10" s="2" t="s">
        <v>57</v>
      </c>
      <c r="X10" s="2" t="s">
        <v>57</v>
      </c>
      <c r="Y10" s="2" t="s">
        <v>57</v>
      </c>
      <c r="Z10" s="2" t="s">
        <v>57</v>
      </c>
      <c r="AA10" s="2" t="s">
        <v>57</v>
      </c>
      <c r="AB10" s="2" t="s">
        <v>57</v>
      </c>
      <c r="AC10" s="2" t="s">
        <v>9</v>
      </c>
      <c r="AD10" s="2"/>
      <c r="AE10" s="2" t="s">
        <v>59</v>
      </c>
      <c r="AF10" s="2"/>
      <c r="AG10" s="2"/>
      <c r="AH10" s="9">
        <f>COUNTA(Juni[[#This Row],[1]:[30]])</f>
        <v>17</v>
      </c>
    </row>
    <row r="11" spans="2:34" ht="30" customHeight="1" x14ac:dyDescent="0.2">
      <c r="B11" s="1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COUNTA(Juni[[#This Row],[1]:[30]])</f>
        <v>0</v>
      </c>
    </row>
    <row r="12" spans="2:34" ht="30" customHeight="1" x14ac:dyDescent="0.2">
      <c r="B12" s="20" t="str">
        <f>MonthName&amp;" Totaal"</f>
        <v>Juni Totaal</v>
      </c>
      <c r="C12" s="12">
        <f>SUBTOTAL(103,Juni[1])</f>
        <v>4</v>
      </c>
      <c r="D12" s="12">
        <f>SUBTOTAL(103,Juni[2])</f>
        <v>1</v>
      </c>
      <c r="E12" s="12">
        <f>SUBTOTAL(103,Juni[3])</f>
        <v>1</v>
      </c>
      <c r="F12" s="12">
        <f>SUBTOTAL(103,Juni[4])</f>
        <v>1</v>
      </c>
      <c r="G12" s="12">
        <f>SUBTOTAL(103,Juni[5])</f>
        <v>1</v>
      </c>
      <c r="H12" s="12">
        <f>SUBTOTAL(103,Juni[6])</f>
        <v>4</v>
      </c>
      <c r="I12" s="12">
        <f>SUBTOTAL(103,Juni[7])</f>
        <v>1</v>
      </c>
      <c r="J12" s="12">
        <f>SUBTOTAL(103,Juni[8])</f>
        <v>4</v>
      </c>
      <c r="K12" s="12">
        <f>SUBTOTAL(103,Juni[9])</f>
        <v>1</v>
      </c>
      <c r="L12" s="12">
        <f>SUBTOTAL(103,Juni[10])</f>
        <v>1</v>
      </c>
      <c r="M12" s="12">
        <f>SUBTOTAL(103,Juni[11])</f>
        <v>4</v>
      </c>
      <c r="N12" s="12">
        <f>SUBTOTAL(103,Juni[12])</f>
        <v>1</v>
      </c>
      <c r="O12" s="12">
        <f>SUBTOTAL(103,Juni[13])</f>
        <v>4</v>
      </c>
      <c r="P12" s="12">
        <f>SUBTOTAL(103,Juni[14])</f>
        <v>1</v>
      </c>
      <c r="Q12" s="12">
        <f>SUBTOTAL(103,Juni[15])</f>
        <v>4</v>
      </c>
      <c r="R12" s="12">
        <f>SUBTOTAL(103,Juni[16])</f>
        <v>1</v>
      </c>
      <c r="S12" s="12">
        <f>SUBTOTAL(103,Juni[17])</f>
        <v>1</v>
      </c>
      <c r="T12" s="12">
        <f>SUBTOTAL(103,Juni[18])</f>
        <v>4</v>
      </c>
      <c r="U12" s="12">
        <f>SUBTOTAL(103,Juni[19])</f>
        <v>2</v>
      </c>
      <c r="V12" s="12">
        <f>SUBTOTAL(103,Juni[20])</f>
        <v>4</v>
      </c>
      <c r="W12" s="12">
        <f>SUBTOTAL(103,Juni[21])</f>
        <v>2</v>
      </c>
      <c r="X12" s="12">
        <f>SUBTOTAL(103,Juni[22])</f>
        <v>4</v>
      </c>
      <c r="Y12" s="12">
        <f>SUBTOTAL(103,Juni[23])</f>
        <v>2</v>
      </c>
      <c r="Z12" s="12">
        <f>SUBTOTAL(103,Juni[24])</f>
        <v>2</v>
      </c>
      <c r="AA12" s="12">
        <f>SUBTOTAL(103,Juni[25])</f>
        <v>4</v>
      </c>
      <c r="AB12" s="12">
        <f>SUBTOTAL(103,Juni[26])</f>
        <v>2</v>
      </c>
      <c r="AC12" s="12">
        <f>SUBTOTAL(103,Juni[27])</f>
        <v>4</v>
      </c>
      <c r="AD12" s="12">
        <f>SUBTOTAL(103,Juni[28])</f>
        <v>1</v>
      </c>
      <c r="AE12" s="12">
        <f>SUBTOTAL(103,Juni[29])</f>
        <v>4</v>
      </c>
      <c r="AF12" s="12">
        <f>SUBTOTAL(103,Juni[30])</f>
        <v>0</v>
      </c>
      <c r="AG12" s="12">
        <f>SUBTOTAL(103,Juni[[ ]])</f>
        <v>0</v>
      </c>
      <c r="AH12" s="12">
        <f>SUBTOTAL(109,Juni[Totaal aantal dagen])</f>
        <v>70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617" priority="2" stopIfTrue="1">
      <formula>C7=KeyCustom2</formula>
    </cfRule>
    <cfRule type="expression" dxfId="616" priority="3" stopIfTrue="1">
      <formula>C7=KeyCustom1</formula>
    </cfRule>
    <cfRule type="expression" dxfId="615" priority="4" stopIfTrue="1">
      <formula>C7=KeySick</formula>
    </cfRule>
    <cfRule type="expression" dxfId="614" priority="5" stopIfTrue="1">
      <formula>C7=KeyPersonal</formula>
    </cfRule>
    <cfRule type="expression" dxfId="613"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500-000000000000}"/>
    <dataValidation allowBlank="1" showInputMessage="1" showErrorMessage="1" prompt="Automatisch bijgewerkt jaar op basis van het jaar dat in het werkblad januari is ingevoerd" sqref="AH4" xr:uid="{00000000-0002-0000-0500-000001000000}"/>
    <dataValidation allowBlank="1" showInputMessage="1" showErrorMessage="1" prompt="Berekent automatisch het totaal aantal dagen die een werknemer in deze maand niet aanwezig was in deze kolom" sqref="AH6" xr:uid="{00000000-0002-0000-0500-000002000000}"/>
    <dataValidation allowBlank="1" showInputMessage="1" showErrorMessage="1" prompt="Houd de afwezigheid in juni in dit werkblad bij" sqref="A1" xr:uid="{00000000-0002-0000-0500-000003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500-000004000000}"/>
    <dataValidation allowBlank="1" showInputMessage="1" showErrorMessage="1" prompt="De titel wordt automatisch bijgewerkt in deze cel. Als u de titel wilt wijzigen, werk B1 in het januari-werkblad bij" sqref="B1" xr:uid="{00000000-0002-0000-0500-000005000000}"/>
    <dataValidation allowBlank="1" showInputMessage="1" showErrorMessage="1" prompt="De letter &quot;V&quot; geeft afwezigheid vanwege vakantie aan" sqref="C2" xr:uid="{00000000-0002-0000-0500-000006000000}"/>
    <dataValidation allowBlank="1" showInputMessage="1" showErrorMessage="1" prompt="De letter &quot;P&quot; geeft afwezigheid vanwege persoonlijke redenen aan" sqref="G2" xr:uid="{00000000-0002-0000-0500-000007000000}"/>
    <dataValidation allowBlank="1" showInputMessage="1" showErrorMessage="1" prompt="De letter &quot;Z&quot; geeft afwezigheid vanwege ziekte aan" sqref="K2" xr:uid="{00000000-0002-0000-0500-000008000000}"/>
    <dataValidation allowBlank="1" showInputMessage="1" showErrorMessage="1" prompt="Voer een letter in en pas rechts het label aan om een ander sleutelitem toe te voegen" sqref="N2 R2" xr:uid="{00000000-0002-0000-0500-000009000000}"/>
    <dataValidation allowBlank="1" showInputMessage="1" showErrorMessage="1" prompt="Voer links een label in om de aangepaste sleutel te beschrijven" sqref="O2:Q2 S2:U2" xr:uid="{00000000-0002-0000-0500-00000A000000}"/>
    <dataValidation allowBlank="1" showInputMessage="1" showErrorMessage="1" prompt="Deze rij definieert de sleutels die worden gebruikt in de tabel: cel C2 is Vakantie, G2 is Persoonlijk en K2 is Ziekteverlof. De cellen N2 en R2 kunnen worden aangepast" sqref="B2" xr:uid="{00000000-0002-0000-0500-00000B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500-00000C000000}"/>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5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Werknemersnamen!$B$4:$B$8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AH12"/>
  <sheetViews>
    <sheetView showGridLines="0" topLeftCell="S1" zoomScale="110" zoomScaleNormal="110" workbookViewId="0">
      <selection activeCell="AF11" sqref="AF11"/>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67</v>
      </c>
      <c r="C2" s="3" t="s">
        <v>3</v>
      </c>
      <c r="D2" s="27" t="s">
        <v>5</v>
      </c>
      <c r="E2" s="27"/>
      <c r="F2" s="27"/>
      <c r="G2" s="4" t="s">
        <v>59</v>
      </c>
      <c r="H2" s="28" t="s">
        <v>58</v>
      </c>
      <c r="I2" s="27"/>
      <c r="J2" s="27"/>
      <c r="K2" s="5" t="s">
        <v>9</v>
      </c>
      <c r="L2" s="28" t="s">
        <v>70</v>
      </c>
      <c r="M2" s="27"/>
      <c r="N2" s="6" t="s">
        <v>61</v>
      </c>
      <c r="O2" s="28" t="s">
        <v>62</v>
      </c>
      <c r="P2" s="27"/>
      <c r="Q2" s="27"/>
      <c r="R2" s="7" t="s">
        <v>64</v>
      </c>
      <c r="S2" s="28" t="s">
        <v>60</v>
      </c>
      <c r="T2" s="27"/>
      <c r="U2" s="27"/>
    </row>
    <row r="3" spans="2:34" ht="15" customHeight="1" x14ac:dyDescent="0.2">
      <c r="B3" s="13"/>
    </row>
    <row r="4" spans="2:34" ht="30" customHeight="1" x14ac:dyDescent="0.2">
      <c r="B4" s="11" t="s">
        <v>45</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TEXT(WEEKDAY(DATE(CalendarYear,7,1),1),"aaa")</f>
        <v>wo</v>
      </c>
      <c r="D5" s="1" t="str">
        <f>TEXT(WEEKDAY(DATE(CalendarYear,7,2),1),"aaa")</f>
        <v>do</v>
      </c>
      <c r="E5" s="1" t="str">
        <f>TEXT(WEEKDAY(DATE(CalendarYear,7,3),1),"aaa")</f>
        <v>vr</v>
      </c>
      <c r="F5" s="1" t="str">
        <f>TEXT(WEEKDAY(DATE(CalendarYear,7,4),1),"aaa")</f>
        <v>za</v>
      </c>
      <c r="G5" s="1" t="str">
        <f>TEXT(WEEKDAY(DATE(CalendarYear,7,5),1),"aaa")</f>
        <v>zo</v>
      </c>
      <c r="H5" s="1" t="str">
        <f>TEXT(WEEKDAY(DATE(CalendarYear,7,6),1),"aaa")</f>
        <v>ma</v>
      </c>
      <c r="I5" s="1" t="str">
        <f>TEXT(WEEKDAY(DATE(CalendarYear,7,7),1),"aaa")</f>
        <v>di</v>
      </c>
      <c r="J5" s="1" t="str">
        <f>TEXT(WEEKDAY(DATE(CalendarYear,7,8),1),"aaa")</f>
        <v>wo</v>
      </c>
      <c r="K5" s="1" t="str">
        <f>TEXT(WEEKDAY(DATE(CalendarYear,7,9),1),"aaa")</f>
        <v>do</v>
      </c>
      <c r="L5" s="1" t="str">
        <f>TEXT(WEEKDAY(DATE(CalendarYear,7,10),1),"aaa")</f>
        <v>vr</v>
      </c>
      <c r="M5" s="1" t="str">
        <f>TEXT(WEEKDAY(DATE(CalendarYear,7,11),1),"aaa")</f>
        <v>za</v>
      </c>
      <c r="N5" s="1" t="str">
        <f>TEXT(WEEKDAY(DATE(CalendarYear,7,12),1),"aaa")</f>
        <v>zo</v>
      </c>
      <c r="O5" s="1" t="str">
        <f>TEXT(WEEKDAY(DATE(CalendarYear,7,13),1),"aaa")</f>
        <v>ma</v>
      </c>
      <c r="P5" s="1" t="str">
        <f>TEXT(WEEKDAY(DATE(CalendarYear,7,14),1),"aaa")</f>
        <v>di</v>
      </c>
      <c r="Q5" s="1" t="str">
        <f>TEXT(WEEKDAY(DATE(CalendarYear,7,15),1),"aaa")</f>
        <v>wo</v>
      </c>
      <c r="R5" s="1" t="str">
        <f>TEXT(WEEKDAY(DATE(CalendarYear,7,16),1),"aaa")</f>
        <v>do</v>
      </c>
      <c r="S5" s="1" t="str">
        <f>TEXT(WEEKDAY(DATE(CalendarYear,7,17),1),"aaa")</f>
        <v>vr</v>
      </c>
      <c r="T5" s="1" t="str">
        <f>TEXT(WEEKDAY(DATE(CalendarYear,7,18),1),"aaa")</f>
        <v>za</v>
      </c>
      <c r="U5" s="1" t="str">
        <f>TEXT(WEEKDAY(DATE(CalendarYear,7,19),1),"aaa")</f>
        <v>zo</v>
      </c>
      <c r="V5" s="1" t="str">
        <f>TEXT(WEEKDAY(DATE(CalendarYear,7,20),1),"aaa")</f>
        <v>ma</v>
      </c>
      <c r="W5" s="1" t="str">
        <f>TEXT(WEEKDAY(DATE(CalendarYear,7,21),1),"aaa")</f>
        <v>di</v>
      </c>
      <c r="X5" s="1" t="str">
        <f>TEXT(WEEKDAY(DATE(CalendarYear,7,22),1),"aaa")</f>
        <v>wo</v>
      </c>
      <c r="Y5" s="1" t="str">
        <f>TEXT(WEEKDAY(DATE(CalendarYear,7,23),1),"aaa")</f>
        <v>do</v>
      </c>
      <c r="Z5" s="1" t="str">
        <f>TEXT(WEEKDAY(DATE(CalendarYear,7,24),1),"aaa")</f>
        <v>vr</v>
      </c>
      <c r="AA5" s="1" t="str">
        <f>TEXT(WEEKDAY(DATE(CalendarYear,7,25),1),"aaa")</f>
        <v>za</v>
      </c>
      <c r="AB5" s="1" t="str">
        <f>TEXT(WEEKDAY(DATE(CalendarYear,7,26),1),"aaa")</f>
        <v>zo</v>
      </c>
      <c r="AC5" s="1" t="str">
        <f>TEXT(WEEKDAY(DATE(CalendarYear,7,27),1),"aaa")</f>
        <v>ma</v>
      </c>
      <c r="AD5" s="1" t="str">
        <f>TEXT(WEEKDAY(DATE(CalendarYear,7,28),1),"aaa")</f>
        <v>di</v>
      </c>
      <c r="AE5" s="1" t="str">
        <f>TEXT(WEEKDAY(DATE(CalendarYear,7,29),1),"aaa")</f>
        <v>wo</v>
      </c>
      <c r="AF5" s="1" t="str">
        <f>TEXT(WEEKDAY(DATE(CalendarYear,7,30),1),"aaa")</f>
        <v>do</v>
      </c>
      <c r="AG5" s="1" t="str">
        <f>TEXT(WEEKDAY(DATE(CalendarYear,7,31),1),"aaa")</f>
        <v>vr</v>
      </c>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 t="s">
        <v>36</v>
      </c>
      <c r="AH6" s="15" t="s">
        <v>38</v>
      </c>
    </row>
    <row r="7" spans="2:34" ht="30" customHeight="1" x14ac:dyDescent="0.2">
      <c r="B7" s="16" t="s">
        <v>53</v>
      </c>
      <c r="C7" s="2"/>
      <c r="D7" s="2" t="s">
        <v>59</v>
      </c>
      <c r="E7" s="2"/>
      <c r="F7" s="2" t="s">
        <v>9</v>
      </c>
      <c r="G7" s="2"/>
      <c r="H7" s="2" t="s">
        <v>64</v>
      </c>
      <c r="I7" s="2"/>
      <c r="J7" s="2"/>
      <c r="K7" s="2" t="s">
        <v>59</v>
      </c>
      <c r="L7" s="2"/>
      <c r="M7" s="2" t="s">
        <v>9</v>
      </c>
      <c r="N7" s="2"/>
      <c r="O7" s="2" t="s">
        <v>64</v>
      </c>
      <c r="P7" s="2"/>
      <c r="Q7" s="2"/>
      <c r="R7" s="2" t="s">
        <v>59</v>
      </c>
      <c r="S7" s="2"/>
      <c r="T7" s="2" t="s">
        <v>9</v>
      </c>
      <c r="U7" s="2"/>
      <c r="V7" s="2" t="s">
        <v>59</v>
      </c>
      <c r="W7" s="2"/>
      <c r="X7" s="2"/>
      <c r="Y7" s="2" t="s">
        <v>59</v>
      </c>
      <c r="Z7" s="2"/>
      <c r="AA7" s="2" t="s">
        <v>9</v>
      </c>
      <c r="AB7" s="2"/>
      <c r="AC7" s="2" t="s">
        <v>59</v>
      </c>
      <c r="AD7" s="2"/>
      <c r="AE7" s="2"/>
      <c r="AF7" s="2" t="s">
        <v>64</v>
      </c>
      <c r="AG7" s="2"/>
      <c r="AH7" s="9">
        <f>COUNTA(Juli[[#This Row],[1]:[31]])</f>
        <v>13</v>
      </c>
    </row>
    <row r="8" spans="2:34" ht="30" customHeight="1" x14ac:dyDescent="0.2">
      <c r="B8" s="16" t="s">
        <v>54</v>
      </c>
      <c r="C8" s="2"/>
      <c r="D8" s="2" t="s">
        <v>59</v>
      </c>
      <c r="E8" s="2"/>
      <c r="F8" s="2" t="s">
        <v>9</v>
      </c>
      <c r="G8" s="2"/>
      <c r="H8" s="2" t="s">
        <v>59</v>
      </c>
      <c r="I8" s="2"/>
      <c r="J8" s="2"/>
      <c r="K8" s="2" t="s">
        <v>59</v>
      </c>
      <c r="L8" s="2"/>
      <c r="M8" s="2" t="s">
        <v>3</v>
      </c>
      <c r="N8" s="2" t="s">
        <v>57</v>
      </c>
      <c r="O8" s="2" t="s">
        <v>3</v>
      </c>
      <c r="P8" s="2"/>
      <c r="Q8" s="2"/>
      <c r="R8" s="2" t="s">
        <v>59</v>
      </c>
      <c r="S8" s="2"/>
      <c r="T8" s="2" t="s">
        <v>9</v>
      </c>
      <c r="U8" s="2"/>
      <c r="V8" s="2" t="s">
        <v>59</v>
      </c>
      <c r="W8" s="2"/>
      <c r="X8" s="2"/>
      <c r="Y8" s="2" t="s">
        <v>59</v>
      </c>
      <c r="Z8" s="2"/>
      <c r="AA8" s="2" t="s">
        <v>9</v>
      </c>
      <c r="AB8" s="2"/>
      <c r="AC8" s="2" t="s">
        <v>59</v>
      </c>
      <c r="AD8" s="2"/>
      <c r="AE8" s="2"/>
      <c r="AF8" s="2" t="s">
        <v>64</v>
      </c>
      <c r="AG8" s="2"/>
      <c r="AH8" s="9">
        <f>COUNTA(Juli[[#This Row],[1]:[31]])</f>
        <v>14</v>
      </c>
    </row>
    <row r="9" spans="2:34" ht="30" customHeight="1" x14ac:dyDescent="0.2">
      <c r="B9" s="16" t="s">
        <v>55</v>
      </c>
      <c r="C9" s="2"/>
      <c r="D9" s="2" t="s">
        <v>64</v>
      </c>
      <c r="E9" s="2"/>
      <c r="F9" s="2" t="s">
        <v>9</v>
      </c>
      <c r="G9" s="2"/>
      <c r="H9" s="2" t="s">
        <v>59</v>
      </c>
      <c r="I9" s="2"/>
      <c r="J9" s="2"/>
      <c r="K9" s="2" t="s">
        <v>64</v>
      </c>
      <c r="L9" s="2"/>
      <c r="M9" s="2" t="s">
        <v>9</v>
      </c>
      <c r="N9" s="2"/>
      <c r="O9" s="2" t="s">
        <v>64</v>
      </c>
      <c r="P9" s="2"/>
      <c r="Q9" s="2"/>
      <c r="R9" s="2" t="s">
        <v>64</v>
      </c>
      <c r="S9" s="2"/>
      <c r="T9" s="2" t="s">
        <v>9</v>
      </c>
      <c r="U9" s="2"/>
      <c r="V9" s="2" t="s">
        <v>64</v>
      </c>
      <c r="W9" s="2"/>
      <c r="X9" s="2"/>
      <c r="Y9" s="2" t="s">
        <v>64</v>
      </c>
      <c r="Z9" s="2"/>
      <c r="AA9" s="2" t="s">
        <v>9</v>
      </c>
      <c r="AB9" s="2"/>
      <c r="AC9" s="2" t="s">
        <v>64</v>
      </c>
      <c r="AD9" s="2"/>
      <c r="AE9" s="2"/>
      <c r="AF9" s="2" t="s">
        <v>64</v>
      </c>
      <c r="AG9" s="2"/>
      <c r="AH9" s="9">
        <f>COUNTA(Juli[[#This Row],[1]:[31]])</f>
        <v>13</v>
      </c>
    </row>
    <row r="10" spans="2:34" ht="30" customHeight="1" x14ac:dyDescent="0.2">
      <c r="B10" s="16" t="s">
        <v>56</v>
      </c>
      <c r="C10" s="2"/>
      <c r="D10" s="2" t="s">
        <v>59</v>
      </c>
      <c r="E10" s="2"/>
      <c r="F10" s="2" t="s">
        <v>9</v>
      </c>
      <c r="G10" s="2"/>
      <c r="H10" s="2" t="s">
        <v>59</v>
      </c>
      <c r="I10" s="2"/>
      <c r="J10" s="2"/>
      <c r="K10" s="2" t="s">
        <v>59</v>
      </c>
      <c r="L10" s="2"/>
      <c r="M10" s="2" t="s">
        <v>9</v>
      </c>
      <c r="N10" s="2"/>
      <c r="O10" s="2" t="s">
        <v>64</v>
      </c>
      <c r="P10" s="2"/>
      <c r="Q10" s="2"/>
      <c r="R10" s="2" t="s">
        <v>59</v>
      </c>
      <c r="S10" s="2"/>
      <c r="T10" s="2" t="s">
        <v>9</v>
      </c>
      <c r="U10" s="2"/>
      <c r="V10" s="2" t="s">
        <v>59</v>
      </c>
      <c r="W10" s="2"/>
      <c r="X10" s="2"/>
      <c r="Y10" s="2" t="s">
        <v>59</v>
      </c>
      <c r="Z10" s="2"/>
      <c r="AA10" s="2" t="s">
        <v>9</v>
      </c>
      <c r="AB10" s="2"/>
      <c r="AC10" s="2" t="s">
        <v>59</v>
      </c>
      <c r="AD10" s="2"/>
      <c r="AE10" s="2"/>
      <c r="AF10" s="2" t="s">
        <v>64</v>
      </c>
      <c r="AG10" s="2"/>
      <c r="AH10" s="9">
        <f>COUNTA(Juli[[#This Row],[1]:[31]])</f>
        <v>13</v>
      </c>
    </row>
    <row r="11" spans="2:34" ht="30" customHeight="1" x14ac:dyDescent="0.2">
      <c r="B11" s="1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COUNTA(Juli[[#This Row],[1]:[31]])</f>
        <v>0</v>
      </c>
    </row>
    <row r="12" spans="2:34" ht="30" customHeight="1" x14ac:dyDescent="0.2">
      <c r="B12" s="20" t="str">
        <f>MonthName&amp;" Totaal"</f>
        <v>Juli Totaal</v>
      </c>
      <c r="C12" s="12">
        <f>SUBTOTAL(103,Juli[1])</f>
        <v>0</v>
      </c>
      <c r="D12" s="12">
        <f>SUBTOTAL(103,Juli[2])</f>
        <v>4</v>
      </c>
      <c r="E12" s="12">
        <f>SUBTOTAL(103,Juli[3])</f>
        <v>0</v>
      </c>
      <c r="F12" s="12">
        <f>SUBTOTAL(103,Juli[4])</f>
        <v>4</v>
      </c>
      <c r="G12" s="12">
        <f>SUBTOTAL(103,Juli[5])</f>
        <v>0</v>
      </c>
      <c r="H12" s="12">
        <f>SUBTOTAL(103,Juli[6])</f>
        <v>4</v>
      </c>
      <c r="I12" s="12">
        <f>SUBTOTAL(103,Juli[7])</f>
        <v>0</v>
      </c>
      <c r="J12" s="12">
        <f>SUBTOTAL(103,Juli[8])</f>
        <v>0</v>
      </c>
      <c r="K12" s="12">
        <f>SUBTOTAL(103,Juli[9])</f>
        <v>4</v>
      </c>
      <c r="L12" s="12">
        <f>SUBTOTAL(103,Juli[10])</f>
        <v>0</v>
      </c>
      <c r="M12" s="12">
        <f>SUBTOTAL(103,Juli[11])</f>
        <v>4</v>
      </c>
      <c r="N12" s="12">
        <f>SUBTOTAL(103,Juli[12])</f>
        <v>1</v>
      </c>
      <c r="O12" s="12">
        <f>SUBTOTAL(103,Juli[13])</f>
        <v>4</v>
      </c>
      <c r="P12" s="12">
        <f>SUBTOTAL(103,Juli[14])</f>
        <v>0</v>
      </c>
      <c r="Q12" s="12">
        <f>SUBTOTAL(103,Juli[15])</f>
        <v>0</v>
      </c>
      <c r="R12" s="12">
        <f>SUBTOTAL(103,Juli[16])</f>
        <v>4</v>
      </c>
      <c r="S12" s="12">
        <f>SUBTOTAL(103,Juli[17])</f>
        <v>0</v>
      </c>
      <c r="T12" s="12">
        <f>SUBTOTAL(103,Juli[18])</f>
        <v>4</v>
      </c>
      <c r="U12" s="12">
        <f>SUBTOTAL(103,Juli[19])</f>
        <v>0</v>
      </c>
      <c r="V12" s="12">
        <f>SUBTOTAL(103,Juli[20])</f>
        <v>4</v>
      </c>
      <c r="W12" s="12">
        <f>SUBTOTAL(103,Juli[21])</f>
        <v>0</v>
      </c>
      <c r="X12" s="12">
        <f>SUBTOTAL(103,Juli[22])</f>
        <v>0</v>
      </c>
      <c r="Y12" s="12">
        <f>SUBTOTAL(103,Juli[23])</f>
        <v>4</v>
      </c>
      <c r="Z12" s="12">
        <f>SUBTOTAL(103,Juli[24])</f>
        <v>0</v>
      </c>
      <c r="AA12" s="12">
        <f>SUBTOTAL(103,Juli[25])</f>
        <v>4</v>
      </c>
      <c r="AB12" s="12">
        <f>SUBTOTAL(103,Juli[26])</f>
        <v>0</v>
      </c>
      <c r="AC12" s="12">
        <f>SUBTOTAL(103,Juli[27])</f>
        <v>4</v>
      </c>
      <c r="AD12" s="12">
        <f>SUBTOTAL(103,Juli[28])</f>
        <v>0</v>
      </c>
      <c r="AE12" s="12">
        <f>SUBTOTAL(103,Juli[29])</f>
        <v>0</v>
      </c>
      <c r="AF12" s="12">
        <f>SUBTOTAL(103,Juli[30])</f>
        <v>4</v>
      </c>
      <c r="AG12" s="12">
        <f>SUBTOTAL(103,Juli[31])</f>
        <v>0</v>
      </c>
      <c r="AH12" s="12">
        <f>SUBTOTAL(109,Juli[Totaal aantal dagen])</f>
        <v>53</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543" priority="2" stopIfTrue="1">
      <formula>C7=KeyCustom2</formula>
    </cfRule>
    <cfRule type="expression" dxfId="542" priority="3" stopIfTrue="1">
      <formula>C7=KeyCustom1</formula>
    </cfRule>
    <cfRule type="expression" dxfId="541" priority="4" stopIfTrue="1">
      <formula>C7=KeySick</formula>
    </cfRule>
    <cfRule type="expression" dxfId="540" priority="5" stopIfTrue="1">
      <formula>C7=KeyPersonal</formula>
    </cfRule>
    <cfRule type="expression" dxfId="539"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600-000000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600-000001000000}"/>
    <dataValidation allowBlank="1" showInputMessage="1" showErrorMessage="1" prompt="Deze rij definieert de sleutels die worden gebruikt in de tabel: cel C2 is Vakantie, G2 is Persoonlijk en K2 is Ziekteverlof. De cellen N2 en R2 kunnen worden aangepast" sqref="B2" xr:uid="{00000000-0002-0000-0600-000002000000}"/>
    <dataValidation allowBlank="1" showInputMessage="1" showErrorMessage="1" prompt="Voer links een label in om de aangepaste sleutel te beschrijven" sqref="O2:Q2 S2:U2" xr:uid="{00000000-0002-0000-0600-000003000000}"/>
    <dataValidation allowBlank="1" showInputMessage="1" showErrorMessage="1" prompt="Voer een letter in en pas rechts het label aan om een ander sleutelitem toe te voegen" sqref="N2 R2" xr:uid="{00000000-0002-0000-0600-000004000000}"/>
    <dataValidation allowBlank="1" showInputMessage="1" showErrorMessage="1" prompt="De letter &quot;Z&quot; geeft afwezigheid vanwege ziekte aan" sqref="K2" xr:uid="{00000000-0002-0000-0600-000005000000}"/>
    <dataValidation allowBlank="1" showInputMessage="1" showErrorMessage="1" prompt="De letter &quot;P&quot; geeft afwezigheid vanwege persoonlijke redenen aan" sqref="G2" xr:uid="{00000000-0002-0000-0600-000006000000}"/>
    <dataValidation allowBlank="1" showInputMessage="1" showErrorMessage="1" prompt="De letter &quot;V&quot; geeft afwezigheid vanwege vakantie aan" sqref="C2" xr:uid="{00000000-0002-0000-0600-000007000000}"/>
    <dataValidation allowBlank="1" showInputMessage="1" showErrorMessage="1" prompt="De titel wordt automatisch bijgewerkt in deze cel. Als u de titel wilt wijzigen, werk B1 in het januari-werkblad bij" sqref="B1" xr:uid="{00000000-0002-0000-0600-000008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600-000009000000}"/>
    <dataValidation allowBlank="1" showInputMessage="1" showErrorMessage="1" prompt="Houd de afwezigheid in juli in dit werkblad bij" sqref="A1" xr:uid="{00000000-0002-0000-0600-00000A000000}"/>
    <dataValidation allowBlank="1" showInputMessage="1" showErrorMessage="1" prompt="Berekent automatisch het totaal aantal dagen die een werknemer in deze maand niet aanwezig was in deze kolom" sqref="AH6" xr:uid="{00000000-0002-0000-0600-00000B000000}"/>
    <dataValidation allowBlank="1" showInputMessage="1" showErrorMessage="1" prompt="Automatisch bijgewerkt jaar op basis van het jaar dat in het werkblad januari is ingevoerd" sqref="AH4" xr:uid="{00000000-0002-0000-0600-00000C000000}"/>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6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E000000}">
          <x14:formula1>
            <xm:f>Werknemersnamen!$B$4:$B$8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749992370372631"/>
    <pageSetUpPr fitToPage="1"/>
  </sheetPr>
  <dimension ref="A1:AH12"/>
  <sheetViews>
    <sheetView showGridLines="0" topLeftCell="P1" zoomScale="126" zoomScaleNormal="126" workbookViewId="0">
      <selection activeCell="AG11" sqref="AG11"/>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0</v>
      </c>
      <c r="C2" s="3" t="s">
        <v>3</v>
      </c>
      <c r="D2" s="27" t="s">
        <v>5</v>
      </c>
      <c r="E2" s="27"/>
      <c r="F2" s="27"/>
      <c r="G2" s="4" t="s">
        <v>59</v>
      </c>
      <c r="H2" s="28" t="s">
        <v>58</v>
      </c>
      <c r="I2" s="27"/>
      <c r="J2" s="27"/>
      <c r="K2" s="5" t="s">
        <v>9</v>
      </c>
      <c r="L2" s="28" t="s">
        <v>70</v>
      </c>
      <c r="M2" s="27"/>
      <c r="N2" s="6" t="s">
        <v>61</v>
      </c>
      <c r="O2" s="28" t="s">
        <v>62</v>
      </c>
      <c r="P2" s="27"/>
      <c r="Q2" s="27"/>
      <c r="R2" s="7" t="s">
        <v>64</v>
      </c>
      <c r="S2" s="28" t="s">
        <v>60</v>
      </c>
      <c r="T2" s="27"/>
      <c r="U2" s="27"/>
    </row>
    <row r="3" spans="2:34" ht="15" customHeight="1" x14ac:dyDescent="0.2">
      <c r="B3" s="13"/>
    </row>
    <row r="4" spans="2:34" ht="30" customHeight="1" x14ac:dyDescent="0.2">
      <c r="B4" s="11" t="s">
        <v>46</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TEXT(WEEKDAY(DATE(CalendarYear,8,1),1),"aaa")</f>
        <v>za</v>
      </c>
      <c r="D5" s="1" t="str">
        <f>TEXT(WEEKDAY(DATE(CalendarYear,8,2),1),"aaa")</f>
        <v>zo</v>
      </c>
      <c r="E5" s="1" t="str">
        <f>TEXT(WEEKDAY(DATE(CalendarYear,8,3),1),"aaa")</f>
        <v>ma</v>
      </c>
      <c r="F5" s="1" t="str">
        <f>TEXT(WEEKDAY(DATE(CalendarYear,8,4),1),"aaa")</f>
        <v>di</v>
      </c>
      <c r="G5" s="1" t="str">
        <f>TEXT(WEEKDAY(DATE(CalendarYear,8,5),1),"aaa")</f>
        <v>wo</v>
      </c>
      <c r="H5" s="1" t="str">
        <f>TEXT(WEEKDAY(DATE(CalendarYear,8,6),1),"aaa")</f>
        <v>do</v>
      </c>
      <c r="I5" s="1" t="str">
        <f>TEXT(WEEKDAY(DATE(CalendarYear,8,7),1),"aaa")</f>
        <v>vr</v>
      </c>
      <c r="J5" s="1" t="str">
        <f>TEXT(WEEKDAY(DATE(CalendarYear,8,8),1),"aaa")</f>
        <v>za</v>
      </c>
      <c r="K5" s="1" t="str">
        <f>TEXT(WEEKDAY(DATE(CalendarYear,8,9),1),"aaa")</f>
        <v>zo</v>
      </c>
      <c r="L5" s="1" t="str">
        <f>TEXT(WEEKDAY(DATE(CalendarYear,8,10),1),"aaa")</f>
        <v>ma</v>
      </c>
      <c r="M5" s="1" t="str">
        <f>TEXT(WEEKDAY(DATE(CalendarYear,8,11),1),"aaa")</f>
        <v>di</v>
      </c>
      <c r="N5" s="1" t="str">
        <f>TEXT(WEEKDAY(DATE(CalendarYear,8,12),1),"aaa")</f>
        <v>wo</v>
      </c>
      <c r="O5" s="1" t="str">
        <f>TEXT(WEEKDAY(DATE(CalendarYear,8,13),1),"aaa")</f>
        <v>do</v>
      </c>
      <c r="P5" s="1" t="str">
        <f>TEXT(WEEKDAY(DATE(CalendarYear,8,14),1),"aaa")</f>
        <v>vr</v>
      </c>
      <c r="Q5" s="1" t="str">
        <f>TEXT(WEEKDAY(DATE(CalendarYear,8,15),1),"aaa")</f>
        <v>za</v>
      </c>
      <c r="R5" s="1" t="str">
        <f>TEXT(WEEKDAY(DATE(CalendarYear,8,16),1),"aaa")</f>
        <v>zo</v>
      </c>
      <c r="S5" s="1" t="str">
        <f>TEXT(WEEKDAY(DATE(CalendarYear,8,17),1),"aaa")</f>
        <v>ma</v>
      </c>
      <c r="T5" s="1" t="str">
        <f>TEXT(WEEKDAY(DATE(CalendarYear,8,18),1),"aaa")</f>
        <v>di</v>
      </c>
      <c r="U5" s="1" t="str">
        <f>TEXT(WEEKDAY(DATE(CalendarYear,8,19),1),"aaa")</f>
        <v>wo</v>
      </c>
      <c r="V5" s="1" t="str">
        <f>TEXT(WEEKDAY(DATE(CalendarYear,8,20),1),"aaa")</f>
        <v>do</v>
      </c>
      <c r="W5" s="1" t="str">
        <f>TEXT(WEEKDAY(DATE(CalendarYear,8,21),1),"aaa")</f>
        <v>vr</v>
      </c>
      <c r="X5" s="1" t="str">
        <f>TEXT(WEEKDAY(DATE(CalendarYear,8,22),1),"aaa")</f>
        <v>za</v>
      </c>
      <c r="Y5" s="1" t="str">
        <f>TEXT(WEEKDAY(DATE(CalendarYear,8,23),1),"aaa")</f>
        <v>zo</v>
      </c>
      <c r="Z5" s="1" t="str">
        <f>TEXT(WEEKDAY(DATE(CalendarYear,8,24),1),"aaa")</f>
        <v>ma</v>
      </c>
      <c r="AA5" s="1" t="str">
        <f>TEXT(WEEKDAY(DATE(CalendarYear,8,25),1),"aaa")</f>
        <v>di</v>
      </c>
      <c r="AB5" s="1" t="str">
        <f>TEXT(WEEKDAY(DATE(CalendarYear,8,26),1),"aaa")</f>
        <v>wo</v>
      </c>
      <c r="AC5" s="1" t="str">
        <f>TEXT(WEEKDAY(DATE(CalendarYear,8,27),1),"aaa")</f>
        <v>do</v>
      </c>
      <c r="AD5" s="1" t="str">
        <f>TEXT(WEEKDAY(DATE(CalendarYear,8,28),1),"aaa")</f>
        <v>vr</v>
      </c>
      <c r="AE5" s="1" t="str">
        <f>TEXT(WEEKDAY(DATE(CalendarYear,8,29),1),"aaa")</f>
        <v>za</v>
      </c>
      <c r="AF5" s="1" t="str">
        <f>TEXT(WEEKDAY(DATE(CalendarYear,8,30),1),"aaa")</f>
        <v>zo</v>
      </c>
      <c r="AG5" s="1" t="str">
        <f>TEXT(WEEKDAY(DATE(CalendarYear,8,31),1),"aaa")</f>
        <v>ma</v>
      </c>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 t="s">
        <v>36</v>
      </c>
      <c r="AH6" s="15" t="s">
        <v>38</v>
      </c>
    </row>
    <row r="7" spans="2:34" ht="30" customHeight="1" x14ac:dyDescent="0.2">
      <c r="B7" s="16" t="s">
        <v>53</v>
      </c>
      <c r="C7" s="2" t="s">
        <v>9</v>
      </c>
      <c r="D7" s="2"/>
      <c r="E7" s="2" t="s">
        <v>59</v>
      </c>
      <c r="F7" s="2"/>
      <c r="G7" s="2"/>
      <c r="H7" s="2" t="s">
        <v>59</v>
      </c>
      <c r="I7" s="2"/>
      <c r="J7" s="2" t="s">
        <v>9</v>
      </c>
      <c r="K7" s="2"/>
      <c r="L7" s="2" t="s">
        <v>59</v>
      </c>
      <c r="M7" s="2"/>
      <c r="N7" s="2"/>
      <c r="O7" s="2" t="s">
        <v>59</v>
      </c>
      <c r="P7" s="2"/>
      <c r="Q7" s="2" t="s">
        <v>9</v>
      </c>
      <c r="R7" s="2"/>
      <c r="S7" s="2" t="s">
        <v>64</v>
      </c>
      <c r="T7" s="2"/>
      <c r="U7" s="2"/>
      <c r="V7" s="2" t="s">
        <v>59</v>
      </c>
      <c r="W7" s="2"/>
      <c r="X7" s="2" t="s">
        <v>9</v>
      </c>
      <c r="Y7" s="2"/>
      <c r="Z7" s="2"/>
      <c r="AA7" s="2"/>
      <c r="AB7" s="2"/>
      <c r="AC7" s="2" t="s">
        <v>59</v>
      </c>
      <c r="AD7" s="2"/>
      <c r="AE7" s="2" t="s">
        <v>9</v>
      </c>
      <c r="AF7" s="2"/>
      <c r="AG7" s="2" t="s">
        <v>64</v>
      </c>
      <c r="AH7" s="9">
        <f>COUNTA(Augustus[[#This Row],[1]:[31]])</f>
        <v>13</v>
      </c>
    </row>
    <row r="8" spans="2:34" ht="30" customHeight="1" x14ac:dyDescent="0.2">
      <c r="B8" s="16" t="s">
        <v>54</v>
      </c>
      <c r="C8" s="2" t="s">
        <v>9</v>
      </c>
      <c r="D8" s="2"/>
      <c r="E8" s="2" t="s">
        <v>59</v>
      </c>
      <c r="F8" s="2"/>
      <c r="G8" s="2"/>
      <c r="H8" s="2" t="s">
        <v>59</v>
      </c>
      <c r="I8" s="2"/>
      <c r="J8" s="2" t="s">
        <v>9</v>
      </c>
      <c r="K8" s="2"/>
      <c r="L8" s="2" t="s">
        <v>59</v>
      </c>
      <c r="M8" s="2"/>
      <c r="N8" s="2"/>
      <c r="O8" s="2" t="s">
        <v>59</v>
      </c>
      <c r="P8" s="2"/>
      <c r="Q8" s="2" t="s">
        <v>9</v>
      </c>
      <c r="R8" s="2"/>
      <c r="S8" s="2" t="s">
        <v>64</v>
      </c>
      <c r="T8" s="2"/>
      <c r="U8" s="2"/>
      <c r="V8" s="2" t="s">
        <v>59</v>
      </c>
      <c r="W8" s="2"/>
      <c r="X8" s="2" t="s">
        <v>9</v>
      </c>
      <c r="Y8" s="2"/>
      <c r="Z8" s="2"/>
      <c r="AA8" s="2"/>
      <c r="AB8" s="2"/>
      <c r="AC8" s="2" t="s">
        <v>59</v>
      </c>
      <c r="AD8" s="2"/>
      <c r="AE8" s="2" t="s">
        <v>9</v>
      </c>
      <c r="AF8" s="2"/>
      <c r="AG8" s="2" t="s">
        <v>64</v>
      </c>
      <c r="AH8" s="9">
        <f>COUNTA(Augustus[[#This Row],[1]:[31]])</f>
        <v>13</v>
      </c>
    </row>
    <row r="9" spans="2:34" ht="30" customHeight="1" x14ac:dyDescent="0.2">
      <c r="B9" s="16" t="s">
        <v>55</v>
      </c>
      <c r="C9" s="2" t="s">
        <v>9</v>
      </c>
      <c r="D9" s="2"/>
      <c r="E9" s="2" t="s">
        <v>64</v>
      </c>
      <c r="F9" s="2"/>
      <c r="G9" s="2"/>
      <c r="H9" s="2" t="s">
        <v>64</v>
      </c>
      <c r="I9" s="2"/>
      <c r="J9" s="2" t="s">
        <v>9</v>
      </c>
      <c r="K9" s="2"/>
      <c r="L9" s="2" t="s">
        <v>64</v>
      </c>
      <c r="M9" s="2"/>
      <c r="N9" s="2"/>
      <c r="O9" s="2" t="s">
        <v>64</v>
      </c>
      <c r="P9" s="2"/>
      <c r="Q9" s="2" t="s">
        <v>57</v>
      </c>
      <c r="R9" s="2" t="s">
        <v>57</v>
      </c>
      <c r="S9" s="2" t="s">
        <v>57</v>
      </c>
      <c r="T9" s="2" t="s">
        <v>57</v>
      </c>
      <c r="U9" s="2" t="s">
        <v>57</v>
      </c>
      <c r="V9" s="2" t="s">
        <v>57</v>
      </c>
      <c r="W9" s="2" t="s">
        <v>57</v>
      </c>
      <c r="X9" s="2" t="s">
        <v>57</v>
      </c>
      <c r="Y9" s="2" t="s">
        <v>57</v>
      </c>
      <c r="Z9" s="2" t="s">
        <v>57</v>
      </c>
      <c r="AA9" s="2" t="s">
        <v>57</v>
      </c>
      <c r="AB9" s="2" t="s">
        <v>57</v>
      </c>
      <c r="AC9" s="2" t="s">
        <v>57</v>
      </c>
      <c r="AD9" s="2" t="s">
        <v>57</v>
      </c>
      <c r="AE9" s="2" t="s">
        <v>57</v>
      </c>
      <c r="AF9" s="2"/>
      <c r="AG9" s="2" t="s">
        <v>64</v>
      </c>
      <c r="AH9" s="9">
        <f>COUNTA(Augustus[[#This Row],[1]:[31]])</f>
        <v>22</v>
      </c>
    </row>
    <row r="10" spans="2:34" ht="30" customHeight="1" x14ac:dyDescent="0.2">
      <c r="B10" s="16" t="s">
        <v>56</v>
      </c>
      <c r="C10" s="2" t="s">
        <v>9</v>
      </c>
      <c r="D10" s="2"/>
      <c r="E10" s="2" t="s">
        <v>59</v>
      </c>
      <c r="F10" s="2"/>
      <c r="G10" s="2"/>
      <c r="H10" s="2" t="s">
        <v>59</v>
      </c>
      <c r="I10" s="2"/>
      <c r="J10" s="2"/>
      <c r="K10" s="2"/>
      <c r="L10" s="2" t="s">
        <v>59</v>
      </c>
      <c r="M10" s="2"/>
      <c r="N10" s="2"/>
      <c r="O10" s="2" t="s">
        <v>59</v>
      </c>
      <c r="P10" s="2"/>
      <c r="Q10" s="2" t="s">
        <v>9</v>
      </c>
      <c r="R10" s="2" t="s">
        <v>57</v>
      </c>
      <c r="S10" s="2" t="s">
        <v>57</v>
      </c>
      <c r="T10" s="2" t="s">
        <v>57</v>
      </c>
      <c r="U10" s="2" t="s">
        <v>57</v>
      </c>
      <c r="V10" s="2" t="s">
        <v>57</v>
      </c>
      <c r="W10" s="2" t="s">
        <v>57</v>
      </c>
      <c r="X10" s="2" t="s">
        <v>57</v>
      </c>
      <c r="Y10" s="2" t="s">
        <v>57</v>
      </c>
      <c r="Z10" s="2" t="s">
        <v>57</v>
      </c>
      <c r="AA10" s="2" t="s">
        <v>57</v>
      </c>
      <c r="AB10" s="2" t="s">
        <v>57</v>
      </c>
      <c r="AC10" s="2" t="s">
        <v>57</v>
      </c>
      <c r="AD10" s="2" t="s">
        <v>57</v>
      </c>
      <c r="AE10" s="2" t="s">
        <v>57</v>
      </c>
      <c r="AF10" s="2" t="s">
        <v>57</v>
      </c>
      <c r="AG10" s="2" t="s">
        <v>57</v>
      </c>
      <c r="AH10" s="9">
        <f>COUNTA(Augustus[[#This Row],[1]:[31]])</f>
        <v>22</v>
      </c>
    </row>
    <row r="11" spans="2:34" ht="30" customHeight="1" x14ac:dyDescent="0.2">
      <c r="B11" s="1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COUNTA(Augustus[[#This Row],[1]:[31]])</f>
        <v>0</v>
      </c>
    </row>
    <row r="12" spans="2:34" ht="30" customHeight="1" x14ac:dyDescent="0.2">
      <c r="B12" s="20" t="str">
        <f>MonthName&amp;" Totaal"</f>
        <v>Augustus Totaal</v>
      </c>
      <c r="C12" s="12">
        <f>SUBTOTAL(103,Augustus[1])</f>
        <v>4</v>
      </c>
      <c r="D12" s="12">
        <f>SUBTOTAL(103,Augustus[2])</f>
        <v>0</v>
      </c>
      <c r="E12" s="12">
        <f>SUBTOTAL(103,Augustus[3])</f>
        <v>4</v>
      </c>
      <c r="F12" s="12">
        <f>SUBTOTAL(103,Augustus[4])</f>
        <v>0</v>
      </c>
      <c r="G12" s="12">
        <f>SUBTOTAL(103,Augustus[5])</f>
        <v>0</v>
      </c>
      <c r="H12" s="12">
        <f>SUBTOTAL(103,Augustus[6])</f>
        <v>4</v>
      </c>
      <c r="I12" s="12">
        <f>SUBTOTAL(103,Augustus[7])</f>
        <v>0</v>
      </c>
      <c r="J12" s="12">
        <f>SUBTOTAL(103,Augustus[8])</f>
        <v>3</v>
      </c>
      <c r="K12" s="12">
        <f>SUBTOTAL(103,Augustus[9])</f>
        <v>0</v>
      </c>
      <c r="L12" s="12">
        <f>SUBTOTAL(103,Augustus[10])</f>
        <v>4</v>
      </c>
      <c r="M12" s="12">
        <f>SUBTOTAL(103,Augustus[11])</f>
        <v>0</v>
      </c>
      <c r="N12" s="12">
        <f>SUBTOTAL(103,Augustus[12])</f>
        <v>0</v>
      </c>
      <c r="O12" s="12">
        <f>SUBTOTAL(103,Augustus[13])</f>
        <v>4</v>
      </c>
      <c r="P12" s="12">
        <f>SUBTOTAL(103,Augustus[14])</f>
        <v>0</v>
      </c>
      <c r="Q12" s="12">
        <f>SUBTOTAL(103,Augustus[15])</f>
        <v>4</v>
      </c>
      <c r="R12" s="12">
        <f>SUBTOTAL(103,Augustus[16])</f>
        <v>2</v>
      </c>
      <c r="S12" s="12">
        <f>SUBTOTAL(103,Augustus[17])</f>
        <v>4</v>
      </c>
      <c r="T12" s="12">
        <f>SUBTOTAL(103,Augustus[18])</f>
        <v>2</v>
      </c>
      <c r="U12" s="12">
        <f>SUBTOTAL(103,Augustus[19])</f>
        <v>2</v>
      </c>
      <c r="V12" s="12">
        <f>SUBTOTAL(103,Augustus[20])</f>
        <v>4</v>
      </c>
      <c r="W12" s="12">
        <f>SUBTOTAL(103,Augustus[21])</f>
        <v>2</v>
      </c>
      <c r="X12" s="12">
        <f>SUBTOTAL(103,Augustus[22])</f>
        <v>4</v>
      </c>
      <c r="Y12" s="12">
        <f>SUBTOTAL(103,Augustus[23])</f>
        <v>2</v>
      </c>
      <c r="Z12" s="12">
        <f>SUBTOTAL(103,Augustus[24])</f>
        <v>2</v>
      </c>
      <c r="AA12" s="12">
        <f>SUBTOTAL(103,Augustus[25])</f>
        <v>2</v>
      </c>
      <c r="AB12" s="12">
        <f>SUBTOTAL(103,Augustus[26])</f>
        <v>2</v>
      </c>
      <c r="AC12" s="12">
        <f>SUBTOTAL(103,Augustus[27])</f>
        <v>4</v>
      </c>
      <c r="AD12" s="12">
        <f>SUBTOTAL(103,Augustus[28])</f>
        <v>2</v>
      </c>
      <c r="AE12" s="12">
        <f>SUBTOTAL(103,Augustus[29])</f>
        <v>4</v>
      </c>
      <c r="AF12" s="12">
        <f>SUBTOTAL(103,Augustus[30])</f>
        <v>1</v>
      </c>
      <c r="AG12" s="12">
        <f>SUBTOTAL(103,Augustus[31])</f>
        <v>4</v>
      </c>
      <c r="AH12" s="12">
        <f>SUBTOTAL(109,Augustus[Totaal aantal dagen])</f>
        <v>70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69" priority="2" stopIfTrue="1">
      <formula>C7=KeyCustom2</formula>
    </cfRule>
    <cfRule type="expression" dxfId="468" priority="3" stopIfTrue="1">
      <formula>C7=KeyCustom1</formula>
    </cfRule>
    <cfRule type="expression" dxfId="467" priority="4" stopIfTrue="1">
      <formula>C7=KeySick</formula>
    </cfRule>
    <cfRule type="expression" dxfId="466" priority="5" stopIfTrue="1">
      <formula>C7=KeyPersonal</formula>
    </cfRule>
    <cfRule type="expression" dxfId="46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700-000000000000}"/>
    <dataValidation allowBlank="1" showInputMessage="1" showErrorMessage="1" prompt="Automatisch bijgewerkt jaar op basis van het jaar dat in het werkblad januari is ingevoerd" sqref="AH4" xr:uid="{00000000-0002-0000-0700-000001000000}"/>
    <dataValidation allowBlank="1" showInputMessage="1" showErrorMessage="1" prompt="Berekent automatisch het totaal aantal dagen die een werknemer in deze maand niet aanwezig was in deze kolom" sqref="AH6" xr:uid="{00000000-0002-0000-0700-000002000000}"/>
    <dataValidation allowBlank="1" showInputMessage="1" showErrorMessage="1" prompt="Houd de afwezigheid in augustus in dit werkblad bij" sqref="A1" xr:uid="{00000000-0002-0000-0700-000003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700-000004000000}"/>
    <dataValidation allowBlank="1" showInputMessage="1" showErrorMessage="1" prompt="De titel wordt automatisch bijgewerkt in deze cel. Als u de titel wilt wijzigen, werk B1 in het januari-werkblad bij" sqref="B1" xr:uid="{00000000-0002-0000-0700-000005000000}"/>
    <dataValidation allowBlank="1" showInputMessage="1" showErrorMessage="1" prompt="De letter &quot;V&quot; geeft afwezigheid vanwege vakantie aan" sqref="C2" xr:uid="{00000000-0002-0000-0700-000006000000}"/>
    <dataValidation allowBlank="1" showInputMessage="1" showErrorMessage="1" prompt="De letter &quot;P&quot; geeft afwezigheid vanwege persoonlijke redenen aan" sqref="G2" xr:uid="{00000000-0002-0000-0700-000007000000}"/>
    <dataValidation allowBlank="1" showInputMessage="1" showErrorMessage="1" prompt="De letter &quot;Z&quot; geeft afwezigheid vanwege ziekte aan" sqref="K2" xr:uid="{00000000-0002-0000-0700-000008000000}"/>
    <dataValidation allowBlank="1" showInputMessage="1" showErrorMessage="1" prompt="Voer een letter in en pas rechts het label aan om een ander sleutelitem toe te voegen" sqref="N2 R2" xr:uid="{00000000-0002-0000-0700-000009000000}"/>
    <dataValidation allowBlank="1" showInputMessage="1" showErrorMessage="1" prompt="Voer links een label in om de aangepaste sleutel te beschrijven" sqref="O2:Q2 S2:U2" xr:uid="{00000000-0002-0000-0700-00000A000000}"/>
    <dataValidation allowBlank="1" showInputMessage="1" showErrorMessage="1" prompt="Deze rij definieert de sleutels die worden gebruikt in de tabel: cel C2 is Vakantie, G2 is Persoonlijk en K2 is Ziekteverlof. De cellen N2 en R2 kunnen worden aangepast" sqref="B2" xr:uid="{00000000-0002-0000-0700-00000B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700-00000C000000}"/>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7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E000000}">
          <x14:formula1>
            <xm:f>Werknemersnamen!$B$4:$B$8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pageSetUpPr fitToPage="1"/>
  </sheetPr>
  <dimension ref="A1:AH12"/>
  <sheetViews>
    <sheetView showGridLines="0" topLeftCell="D1" zoomScale="114" zoomScaleNormal="114" workbookViewId="0">
      <selection activeCell="AD11" sqref="AD11"/>
    </sheetView>
  </sheetViews>
  <sheetFormatPr baseColWidth="10" defaultColWidth="8.83203125" defaultRowHeight="30" customHeight="1" x14ac:dyDescent="0.2"/>
  <cols>
    <col min="1" max="1" width="2.6640625" style="10" customWidth="1"/>
    <col min="2" max="2" width="25.6640625" style="10" customWidth="1"/>
    <col min="3" max="33" width="4.6640625" style="10" customWidth="1"/>
    <col min="34" max="34" width="20.6640625" style="10" customWidth="1"/>
    <col min="35" max="35" width="2.6640625" customWidth="1"/>
  </cols>
  <sheetData>
    <row r="1" spans="2:34" ht="50" customHeight="1" x14ac:dyDescent="0.2">
      <c r="B1" s="13" t="str">
        <f>Employee_Absence_Title</f>
        <v>Aanwezigheidsplanning DogPlaza</v>
      </c>
    </row>
    <row r="2" spans="2:34" ht="15" customHeight="1" x14ac:dyDescent="0.2">
      <c r="B2" s="18" t="s">
        <v>0</v>
      </c>
      <c r="C2" s="3" t="s">
        <v>3</v>
      </c>
      <c r="D2" s="27" t="s">
        <v>5</v>
      </c>
      <c r="E2" s="27"/>
      <c r="F2" s="27"/>
      <c r="G2" s="4" t="s">
        <v>59</v>
      </c>
      <c r="H2" s="28" t="s">
        <v>58</v>
      </c>
      <c r="I2" s="27"/>
      <c r="J2" s="27"/>
      <c r="K2" s="5" t="s">
        <v>9</v>
      </c>
      <c r="L2" s="28" t="s">
        <v>70</v>
      </c>
      <c r="M2" s="27"/>
      <c r="N2" s="6" t="s">
        <v>61</v>
      </c>
      <c r="O2" s="28" t="s">
        <v>62</v>
      </c>
      <c r="P2" s="27"/>
      <c r="Q2" s="27"/>
      <c r="R2" s="7" t="s">
        <v>64</v>
      </c>
      <c r="S2" s="28" t="s">
        <v>60</v>
      </c>
      <c r="T2" s="27"/>
      <c r="U2" s="27"/>
    </row>
    <row r="3" spans="2:34" ht="15" customHeight="1" x14ac:dyDescent="0.2">
      <c r="B3" s="13"/>
    </row>
    <row r="4" spans="2:34" ht="30" customHeight="1" x14ac:dyDescent="0.2">
      <c r="B4" s="11" t="s">
        <v>47</v>
      </c>
      <c r="C4" s="26" t="s">
        <v>66</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1">
        <f>CalendarYear</f>
        <v>2020</v>
      </c>
    </row>
    <row r="5" spans="2:34" ht="15" customHeight="1" x14ac:dyDescent="0.2">
      <c r="B5" s="11"/>
      <c r="C5" s="1" t="str">
        <f>TEXT(WEEKDAY(DATE(CalendarYear,9,1),1),"aaa")</f>
        <v>di</v>
      </c>
      <c r="D5" s="1" t="str">
        <f>TEXT(WEEKDAY(DATE(CalendarYear,9,2),1),"aaa")</f>
        <v>wo</v>
      </c>
      <c r="E5" s="1" t="str">
        <f>TEXT(WEEKDAY(DATE(CalendarYear,9,3),1),"aaa")</f>
        <v>do</v>
      </c>
      <c r="F5" s="1" t="str">
        <f>TEXT(WEEKDAY(DATE(CalendarYear,9,4),1),"aaa")</f>
        <v>vr</v>
      </c>
      <c r="G5" s="1" t="str">
        <f>TEXT(WEEKDAY(DATE(CalendarYear,9,5),1),"aaa")</f>
        <v>za</v>
      </c>
      <c r="H5" s="1" t="str">
        <f>TEXT(WEEKDAY(DATE(CalendarYear,9,6),1),"aaa")</f>
        <v>zo</v>
      </c>
      <c r="I5" s="1" t="str">
        <f>TEXT(WEEKDAY(DATE(CalendarYear,9,7),1),"aaa")</f>
        <v>ma</v>
      </c>
      <c r="J5" s="1" t="str">
        <f>TEXT(WEEKDAY(DATE(CalendarYear,9,8),1),"aaa")</f>
        <v>di</v>
      </c>
      <c r="K5" s="1" t="str">
        <f>TEXT(WEEKDAY(DATE(CalendarYear,9,9),1),"aaa")</f>
        <v>wo</v>
      </c>
      <c r="L5" s="1" t="str">
        <f>TEXT(WEEKDAY(DATE(CalendarYear,9,10),1),"aaa")</f>
        <v>do</v>
      </c>
      <c r="M5" s="1" t="str">
        <f>TEXT(WEEKDAY(DATE(CalendarYear,9,11),1),"aaa")</f>
        <v>vr</v>
      </c>
      <c r="N5" s="1" t="str">
        <f>TEXT(WEEKDAY(DATE(CalendarYear,9,12),1),"aaa")</f>
        <v>za</v>
      </c>
      <c r="O5" s="1" t="str">
        <f>TEXT(WEEKDAY(DATE(CalendarYear,9,13),1),"aaa")</f>
        <v>zo</v>
      </c>
      <c r="P5" s="1" t="str">
        <f>TEXT(WEEKDAY(DATE(CalendarYear,9,14),1),"aaa")</f>
        <v>ma</v>
      </c>
      <c r="Q5" s="1" t="str">
        <f>TEXT(WEEKDAY(DATE(CalendarYear,9,15),1),"aaa")</f>
        <v>di</v>
      </c>
      <c r="R5" s="1" t="str">
        <f>TEXT(WEEKDAY(DATE(CalendarYear,9,16),1),"aaa")</f>
        <v>wo</v>
      </c>
      <c r="S5" s="1" t="str">
        <f>TEXT(WEEKDAY(DATE(CalendarYear,9,17),1),"aaa")</f>
        <v>do</v>
      </c>
      <c r="T5" s="1" t="str">
        <f>TEXT(WEEKDAY(DATE(CalendarYear,9,18),1),"aaa")</f>
        <v>vr</v>
      </c>
      <c r="U5" s="1" t="str">
        <f>TEXT(WEEKDAY(DATE(CalendarYear,9,19),1),"aaa")</f>
        <v>za</v>
      </c>
      <c r="V5" s="1" t="str">
        <f>TEXT(WEEKDAY(DATE(CalendarYear,9,20),1),"aaa")</f>
        <v>zo</v>
      </c>
      <c r="W5" s="1" t="str">
        <f>TEXT(WEEKDAY(DATE(CalendarYear,9,21),1),"aaa")</f>
        <v>ma</v>
      </c>
      <c r="X5" s="1" t="str">
        <f>TEXT(WEEKDAY(DATE(CalendarYear,9,22),1),"aaa")</f>
        <v>di</v>
      </c>
      <c r="Y5" s="1" t="str">
        <f>TEXT(WEEKDAY(DATE(CalendarYear,9,23),1),"aaa")</f>
        <v>wo</v>
      </c>
      <c r="Z5" s="1" t="str">
        <f>TEXT(WEEKDAY(DATE(CalendarYear,9,24),1),"aaa")</f>
        <v>do</v>
      </c>
      <c r="AA5" s="1" t="str">
        <f>TEXT(WEEKDAY(DATE(CalendarYear,9,25),1),"aaa")</f>
        <v>vr</v>
      </c>
      <c r="AB5" s="1" t="str">
        <f>TEXT(WEEKDAY(DATE(CalendarYear,9,26),1),"aaa")</f>
        <v>za</v>
      </c>
      <c r="AC5" s="1" t="str">
        <f>TEXT(WEEKDAY(DATE(CalendarYear,9,27),1),"aaa")</f>
        <v>zo</v>
      </c>
      <c r="AD5" s="1" t="str">
        <f>TEXT(WEEKDAY(DATE(CalendarYear,9,28),1),"aaa")</f>
        <v>ma</v>
      </c>
      <c r="AE5" s="1" t="str">
        <f>TEXT(WEEKDAY(DATE(CalendarYear,9,29),1),"aaa")</f>
        <v>di</v>
      </c>
      <c r="AF5" s="1" t="str">
        <f>TEXT(WEEKDAY(DATE(CalendarYear,9,30),1),"aaa")</f>
        <v>wo</v>
      </c>
      <c r="AG5" s="1"/>
      <c r="AH5" s="11"/>
    </row>
    <row r="6" spans="2:34" ht="15" customHeight="1" x14ac:dyDescent="0.2">
      <c r="B6" s="14" t="s">
        <v>2</v>
      </c>
      <c r="C6" s="2" t="s">
        <v>4</v>
      </c>
      <c r="D6" s="2" t="s">
        <v>6</v>
      </c>
      <c r="E6" s="2" t="s">
        <v>7</v>
      </c>
      <c r="F6" s="2" t="s">
        <v>8</v>
      </c>
      <c r="G6" s="2" t="s">
        <v>10</v>
      </c>
      <c r="H6" s="2" t="s">
        <v>11</v>
      </c>
      <c r="I6" s="2" t="s">
        <v>12</v>
      </c>
      <c r="J6" s="2" t="s">
        <v>13</v>
      </c>
      <c r="K6" s="2" t="s">
        <v>14</v>
      </c>
      <c r="L6" s="2" t="s">
        <v>15</v>
      </c>
      <c r="M6" s="2" t="s">
        <v>16</v>
      </c>
      <c r="N6" s="2" t="s">
        <v>17</v>
      </c>
      <c r="O6" s="2" t="s">
        <v>18</v>
      </c>
      <c r="P6" s="2" t="s">
        <v>19</v>
      </c>
      <c r="Q6" s="2" t="s">
        <v>20</v>
      </c>
      <c r="R6" s="2" t="s">
        <v>21</v>
      </c>
      <c r="S6" s="2" t="s">
        <v>22</v>
      </c>
      <c r="T6" s="2" t="s">
        <v>23</v>
      </c>
      <c r="U6" s="2" t="s">
        <v>24</v>
      </c>
      <c r="V6" s="2" t="s">
        <v>25</v>
      </c>
      <c r="W6" s="2" t="s">
        <v>26</v>
      </c>
      <c r="X6" s="2" t="s">
        <v>27</v>
      </c>
      <c r="Y6" s="2" t="s">
        <v>28</v>
      </c>
      <c r="Z6" s="2" t="s">
        <v>29</v>
      </c>
      <c r="AA6" s="2" t="s">
        <v>30</v>
      </c>
      <c r="AB6" s="2" t="s">
        <v>31</v>
      </c>
      <c r="AC6" s="2" t="s">
        <v>32</v>
      </c>
      <c r="AD6" s="2" t="s">
        <v>33</v>
      </c>
      <c r="AE6" s="2" t="s">
        <v>34</v>
      </c>
      <c r="AF6" s="2" t="s">
        <v>35</v>
      </c>
      <c r="AG6" s="2" t="s">
        <v>40</v>
      </c>
      <c r="AH6" s="15" t="s">
        <v>38</v>
      </c>
    </row>
    <row r="7" spans="2:34" ht="30" customHeight="1" x14ac:dyDescent="0.2">
      <c r="B7" s="16" t="s">
        <v>53</v>
      </c>
      <c r="C7" s="2"/>
      <c r="D7" s="2"/>
      <c r="E7" s="2" t="s">
        <v>64</v>
      </c>
      <c r="F7" s="2"/>
      <c r="G7" s="2" t="s">
        <v>9</v>
      </c>
      <c r="H7" s="2" t="s">
        <v>3</v>
      </c>
      <c r="I7" s="2" t="s">
        <v>3</v>
      </c>
      <c r="J7" s="2" t="s">
        <v>3</v>
      </c>
      <c r="K7" s="2" t="s">
        <v>3</v>
      </c>
      <c r="L7" s="2" t="s">
        <v>3</v>
      </c>
      <c r="M7" s="2" t="s">
        <v>3</v>
      </c>
      <c r="N7" s="2" t="s">
        <v>3</v>
      </c>
      <c r="O7" s="2" t="s">
        <v>3</v>
      </c>
      <c r="P7" s="2" t="s">
        <v>3</v>
      </c>
      <c r="Q7" s="2" t="s">
        <v>3</v>
      </c>
      <c r="R7" s="2" t="s">
        <v>3</v>
      </c>
      <c r="S7" s="2" t="s">
        <v>3</v>
      </c>
      <c r="T7" s="2" t="s">
        <v>3</v>
      </c>
      <c r="U7" s="2" t="s">
        <v>3</v>
      </c>
      <c r="V7" s="2" t="s">
        <v>3</v>
      </c>
      <c r="W7" s="2" t="s">
        <v>64</v>
      </c>
      <c r="X7" s="2"/>
      <c r="Y7" s="2"/>
      <c r="Z7" s="2" t="s">
        <v>59</v>
      </c>
      <c r="AA7" s="2"/>
      <c r="AB7" s="2" t="s">
        <v>59</v>
      </c>
      <c r="AC7" s="2"/>
      <c r="AD7" s="2" t="s">
        <v>59</v>
      </c>
      <c r="AE7" s="2"/>
      <c r="AF7" s="2"/>
      <c r="AG7" s="2"/>
      <c r="AH7" s="9">
        <f>COUNTA(September[[#This Row],[1]:[30]])</f>
        <v>21</v>
      </c>
    </row>
    <row r="8" spans="2:34" ht="30" customHeight="1" x14ac:dyDescent="0.2">
      <c r="B8" s="16" t="s">
        <v>54</v>
      </c>
      <c r="C8" s="2"/>
      <c r="D8" s="2"/>
      <c r="E8" s="2" t="s">
        <v>64</v>
      </c>
      <c r="F8" s="2"/>
      <c r="G8" s="2" t="s">
        <v>9</v>
      </c>
      <c r="H8" s="2"/>
      <c r="I8" s="2" t="s">
        <v>59</v>
      </c>
      <c r="J8" s="2"/>
      <c r="K8" s="2"/>
      <c r="L8" s="2" t="s">
        <v>59</v>
      </c>
      <c r="M8" s="2"/>
      <c r="N8" s="2"/>
      <c r="O8" s="2"/>
      <c r="P8" s="2" t="s">
        <v>59</v>
      </c>
      <c r="Q8" s="2"/>
      <c r="R8" s="2"/>
      <c r="S8" s="2" t="s">
        <v>59</v>
      </c>
      <c r="T8" s="2"/>
      <c r="U8" s="2"/>
      <c r="V8" s="2"/>
      <c r="W8" s="2" t="s">
        <v>59</v>
      </c>
      <c r="X8" s="2"/>
      <c r="Y8" s="2"/>
      <c r="Z8" s="2" t="s">
        <v>59</v>
      </c>
      <c r="AA8" s="2"/>
      <c r="AB8" s="2" t="s">
        <v>64</v>
      </c>
      <c r="AC8" s="2"/>
      <c r="AD8" s="2" t="s">
        <v>59</v>
      </c>
      <c r="AE8" s="2"/>
      <c r="AF8" s="2"/>
      <c r="AG8" s="2"/>
      <c r="AH8" s="9">
        <f>COUNTA(September[[#This Row],[1]:[30]])</f>
        <v>10</v>
      </c>
    </row>
    <row r="9" spans="2:34" ht="30" customHeight="1" x14ac:dyDescent="0.2">
      <c r="B9" s="16" t="s">
        <v>55</v>
      </c>
      <c r="C9" s="2"/>
      <c r="D9" s="2"/>
      <c r="E9" s="2" t="s">
        <v>64</v>
      </c>
      <c r="F9" s="2"/>
      <c r="G9" s="2" t="s">
        <v>9</v>
      </c>
      <c r="H9" s="2"/>
      <c r="I9" s="2" t="s">
        <v>59</v>
      </c>
      <c r="J9" s="2"/>
      <c r="K9" s="2"/>
      <c r="L9" s="2" t="s">
        <v>64</v>
      </c>
      <c r="M9" s="2"/>
      <c r="N9" s="2"/>
      <c r="O9" s="2"/>
      <c r="P9" s="2" t="s">
        <v>64</v>
      </c>
      <c r="Q9" s="2"/>
      <c r="R9" s="2"/>
      <c r="S9" s="2" t="s">
        <v>64</v>
      </c>
      <c r="T9" s="2"/>
      <c r="U9" s="2"/>
      <c r="V9" s="2"/>
      <c r="W9" s="2" t="s">
        <v>59</v>
      </c>
      <c r="X9" s="2"/>
      <c r="Y9" s="2"/>
      <c r="Z9" s="2" t="s">
        <v>64</v>
      </c>
      <c r="AA9" s="2"/>
      <c r="AB9" s="2"/>
      <c r="AC9" s="2"/>
      <c r="AD9" s="2" t="s">
        <v>64</v>
      </c>
      <c r="AE9" s="2"/>
      <c r="AF9" s="2"/>
      <c r="AG9" s="2"/>
      <c r="AH9" s="9">
        <f>COUNTA(September[[#This Row],[1]:[30]])</f>
        <v>9</v>
      </c>
    </row>
    <row r="10" spans="2:34" ht="30" customHeight="1" x14ac:dyDescent="0.2">
      <c r="B10" s="16" t="s">
        <v>56</v>
      </c>
      <c r="C10" s="2" t="s">
        <v>57</v>
      </c>
      <c r="D10" s="2" t="s">
        <v>57</v>
      </c>
      <c r="E10" s="2" t="s">
        <v>57</v>
      </c>
      <c r="F10" s="2" t="s">
        <v>57</v>
      </c>
      <c r="G10" s="2" t="s">
        <v>9</v>
      </c>
      <c r="H10" s="2"/>
      <c r="I10" s="2" t="s">
        <v>59</v>
      </c>
      <c r="J10" s="2"/>
      <c r="K10" s="2"/>
      <c r="L10" s="2" t="s">
        <v>59</v>
      </c>
      <c r="M10" s="2"/>
      <c r="N10" s="2"/>
      <c r="O10" s="2"/>
      <c r="P10" s="2" t="s">
        <v>59</v>
      </c>
      <c r="Q10" s="2"/>
      <c r="R10" s="2"/>
      <c r="S10" s="2" t="s">
        <v>59</v>
      </c>
      <c r="T10" s="2"/>
      <c r="U10" s="2"/>
      <c r="V10" s="2"/>
      <c r="W10" s="2" t="s">
        <v>59</v>
      </c>
      <c r="X10" s="2"/>
      <c r="Y10" s="2"/>
      <c r="Z10" s="2" t="s">
        <v>59</v>
      </c>
      <c r="AA10" s="2"/>
      <c r="AB10" s="2" t="s">
        <v>59</v>
      </c>
      <c r="AC10" s="2"/>
      <c r="AD10" s="2" t="s">
        <v>59</v>
      </c>
      <c r="AE10" s="2"/>
      <c r="AF10" s="2"/>
      <c r="AG10" s="2"/>
      <c r="AH10" s="9">
        <f>COUNTA(September[[#This Row],[1]:[30]])</f>
        <v>13</v>
      </c>
    </row>
    <row r="11" spans="2:34" ht="30" customHeight="1" x14ac:dyDescent="0.2">
      <c r="B11" s="1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9">
        <f>COUNTA(September[[#This Row],[1]:[30]])</f>
        <v>0</v>
      </c>
    </row>
    <row r="12" spans="2:34" ht="30" customHeight="1" x14ac:dyDescent="0.2">
      <c r="B12" s="20" t="str">
        <f>MonthName&amp;" Totaal"</f>
        <v>september Totaal</v>
      </c>
      <c r="C12" s="12">
        <f>SUBTOTAL(103,September[1])</f>
        <v>1</v>
      </c>
      <c r="D12" s="12">
        <f>SUBTOTAL(103,September[2])</f>
        <v>1</v>
      </c>
      <c r="E12" s="12">
        <f>SUBTOTAL(103,September[3])</f>
        <v>4</v>
      </c>
      <c r="F12" s="12">
        <f>SUBTOTAL(103,September[4])</f>
        <v>1</v>
      </c>
      <c r="G12" s="12">
        <f>SUBTOTAL(103,September[5])</f>
        <v>4</v>
      </c>
      <c r="H12" s="12">
        <f>SUBTOTAL(103,September[6])</f>
        <v>1</v>
      </c>
      <c r="I12" s="12">
        <f>SUBTOTAL(103,September[7])</f>
        <v>4</v>
      </c>
      <c r="J12" s="12">
        <f>SUBTOTAL(103,September[8])</f>
        <v>1</v>
      </c>
      <c r="K12" s="12">
        <f>SUBTOTAL(103,September[9])</f>
        <v>1</v>
      </c>
      <c r="L12" s="12">
        <f>SUBTOTAL(103,September[10])</f>
        <v>4</v>
      </c>
      <c r="M12" s="12">
        <f>SUBTOTAL(103,September[11])</f>
        <v>1</v>
      </c>
      <c r="N12" s="12">
        <f>SUBTOTAL(103,September[12])</f>
        <v>1</v>
      </c>
      <c r="O12" s="12">
        <f>SUBTOTAL(103,September[13])</f>
        <v>1</v>
      </c>
      <c r="P12" s="12">
        <f>SUBTOTAL(103,September[14])</f>
        <v>4</v>
      </c>
      <c r="Q12" s="12">
        <f>SUBTOTAL(103,September[15])</f>
        <v>1</v>
      </c>
      <c r="R12" s="12">
        <f>SUBTOTAL(103,September[16])</f>
        <v>1</v>
      </c>
      <c r="S12" s="12">
        <f>SUBTOTAL(103,September[17])</f>
        <v>4</v>
      </c>
      <c r="T12" s="12">
        <f>SUBTOTAL(103,September[18])</f>
        <v>1</v>
      </c>
      <c r="U12" s="12">
        <f>SUBTOTAL(103,September[19])</f>
        <v>1</v>
      </c>
      <c r="V12" s="12">
        <f>SUBTOTAL(103,September[20])</f>
        <v>1</v>
      </c>
      <c r="W12" s="12">
        <f>SUBTOTAL(103,September[21])</f>
        <v>4</v>
      </c>
      <c r="X12" s="12">
        <f>SUBTOTAL(103,September[22])</f>
        <v>0</v>
      </c>
      <c r="Y12" s="12">
        <f>SUBTOTAL(103,September[23])</f>
        <v>0</v>
      </c>
      <c r="Z12" s="12">
        <f>SUBTOTAL(103,September[24])</f>
        <v>4</v>
      </c>
      <c r="AA12" s="12">
        <f>SUBTOTAL(103,September[25])</f>
        <v>0</v>
      </c>
      <c r="AB12" s="12">
        <f>SUBTOTAL(103,September[26])</f>
        <v>3</v>
      </c>
      <c r="AC12" s="12">
        <f>SUBTOTAL(103,September[27])</f>
        <v>0</v>
      </c>
      <c r="AD12" s="12">
        <f>SUBTOTAL(103,September[28])</f>
        <v>4</v>
      </c>
      <c r="AE12" s="12">
        <f>SUBTOTAL(103,September[29])</f>
        <v>0</v>
      </c>
      <c r="AF12" s="12">
        <f>SUBTOTAL(103,September[30])</f>
        <v>0</v>
      </c>
      <c r="AG12" s="12">
        <f>SUBTOTAL(103,September[[ ]])</f>
        <v>0</v>
      </c>
      <c r="AH12" s="12">
        <f>SUBTOTAL(109,September[Totaal aantal dagen])</f>
        <v>53</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95" priority="2" stopIfTrue="1">
      <formula>C7=KeyCustom2</formula>
    </cfRule>
    <cfRule type="expression" dxfId="394" priority="3" stopIfTrue="1">
      <formula>C7=KeyCustom1</formula>
    </cfRule>
    <cfRule type="expression" dxfId="393" priority="4" stopIfTrue="1">
      <formula>C7=KeySick</formula>
    </cfRule>
    <cfRule type="expression" dxfId="392" priority="5" stopIfTrue="1">
      <formula>C7=KeyPersonal</formula>
    </cfRule>
    <cfRule type="expression" dxfId="391"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De dagen van de maand in deze rij worden automatisch gegenereerd. Voer voor elke dag van de maand in elke kolom het verzuim en het type verzuim van een werknemer in. Leeg betekent geen verzuim" sqref="C6" xr:uid="{00000000-0002-0000-0800-000000000000}"/>
    <dataValidation allowBlank="1" showInputMessage="1" showErrorMessage="1" prompt="De naam van de maand voor dit verzuimschema bevindt zich in deze cel. De absentietotalen voor deze maand staan in de laatste cel van de tabel. Namen van werknemers selecteren in tabelkolom B" sqref="B4" xr:uid="{00000000-0002-0000-0800-000001000000}"/>
    <dataValidation allowBlank="1" showInputMessage="1" showErrorMessage="1" prompt="Deze rij definieert de sleutels die worden gebruikt in de tabel: cel C2 is Vakantie, G2 is Persoonlijk en K2 is Ziekteverlof. De cellen N2 en R2 kunnen worden aangepast" sqref="B2" xr:uid="{00000000-0002-0000-0800-000002000000}"/>
    <dataValidation allowBlank="1" showInputMessage="1" showErrorMessage="1" prompt="Voer links een label in om de aangepaste sleutel te beschrijven" sqref="O2:Q2 S2:U2" xr:uid="{00000000-0002-0000-0800-000003000000}"/>
    <dataValidation allowBlank="1" showInputMessage="1" showErrorMessage="1" prompt="Voer een letter in en pas rechts het label aan om een ander sleutelitem toe te voegen" sqref="N2 R2" xr:uid="{00000000-0002-0000-0800-000004000000}"/>
    <dataValidation allowBlank="1" showInputMessage="1" showErrorMessage="1" prompt="De letter &quot;Z&quot; geeft afwezigheid vanwege ziekte aan" sqref="K2" xr:uid="{00000000-0002-0000-0800-000005000000}"/>
    <dataValidation allowBlank="1" showInputMessage="1" showErrorMessage="1" prompt="De letter &quot;P&quot; geeft afwezigheid vanwege persoonlijke redenen aan" sqref="G2" xr:uid="{00000000-0002-0000-0800-000006000000}"/>
    <dataValidation allowBlank="1" showInputMessage="1" showErrorMessage="1" prompt="De letter &quot;V&quot; geeft afwezigheid vanwege vakantie aan" sqref="C2" xr:uid="{00000000-0002-0000-0800-000007000000}"/>
    <dataValidation allowBlank="1" showInputMessage="1" showErrorMessage="1" prompt="De titel wordt automatisch bijgewerkt in deze cel. Als u de titel wilt wijzigen, werk B1 in het januari-werkblad bij" sqref="B1" xr:uid="{00000000-0002-0000-0800-000008000000}"/>
    <dataValidation errorStyle="warning" allowBlank="1" showInputMessage="1" showErrorMessage="1" error="Selecteer een naam in de lijst. Selecteer ANNULEREN, druk dan op ALT+PIJL-OMLAAG en vervolgens op ENTER om een naam te selecteren" prompt="Voer de werknemersnamen in het Werknemersnamen werkblad en selecteer vervolgens een van die namen van de lijst in deze kolom. Druk op ALT+PIJL-OMLAAG en daarna ENTER om een naam te selecteren" sqref="B6" xr:uid="{00000000-0002-0000-0800-000009000000}"/>
    <dataValidation allowBlank="1" showInputMessage="1" showErrorMessage="1" prompt="Houd de afwezigheid in september in dit werkblad bij" sqref="A1" xr:uid="{00000000-0002-0000-0800-00000A000000}"/>
    <dataValidation allowBlank="1" showInputMessage="1" showErrorMessage="1" prompt="Berekent automatisch het totaal aantal dagen die een werknemer in deze maand niet aanwezig was in deze kolom" sqref="AH6" xr:uid="{00000000-0002-0000-0800-00000B000000}"/>
    <dataValidation allowBlank="1" showInputMessage="1" showErrorMessage="1" prompt="Automatisch bijgewerkt jaar op basis van het jaar dat in het werkblad januari is ingevoerd" sqref="AH4" xr:uid="{00000000-0002-0000-0800-00000C000000}"/>
    <dataValidation allowBlank="1" showInputMessage="1" showErrorMessage="1" prompt="Weekdagen in deze rij worden automatisch bijgewerkt voor de maand, overeenkomstig het jaar in AH4. Elke dag van de maand is een kolom om het verzuim en type verzuim van een werknemer te noteren" sqref="C5" xr:uid="{00000000-0002-0000-0800-00000D000000}"/>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E000000}">
          <x14:formula1>
            <xm:f>Werknemersnamen!$B$4:$B$8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13</vt:i4>
      </vt:variant>
      <vt:variant>
        <vt:lpstr>Benoemde bereiken</vt:lpstr>
      </vt:variant>
      <vt:variant>
        <vt:i4>50</vt:i4>
      </vt:variant>
    </vt:vector>
  </HeadingPairs>
  <TitlesOfParts>
    <vt:vector size="63" baseType="lpstr">
      <vt:lpstr>Januari</vt:lpstr>
      <vt:lpstr>Februari</vt:lpstr>
      <vt:lpstr>Maart</vt:lpstr>
      <vt:lpstr>April</vt:lpstr>
      <vt:lpstr>Mei</vt:lpstr>
      <vt:lpstr>Juni</vt:lpstr>
      <vt:lpstr>Juli</vt:lpstr>
      <vt:lpstr>Augustus</vt:lpstr>
      <vt:lpstr>September</vt:lpstr>
      <vt:lpstr>Oktober</vt:lpstr>
      <vt:lpstr>November</vt:lpstr>
      <vt:lpstr>December</vt:lpstr>
      <vt:lpstr>Werknemersnamen</vt:lpstr>
      <vt:lpstr>April!Afdruktitels</vt:lpstr>
      <vt:lpstr>Augustus!Afdruktitels</vt:lpstr>
      <vt:lpstr>December!Afdruktitels</vt:lpstr>
      <vt:lpstr>Februari!Afdruktitels</vt:lpstr>
      <vt:lpstr>Januari!Afdruktitels</vt:lpstr>
      <vt:lpstr>Juli!Afdruktitels</vt:lpstr>
      <vt:lpstr>Juni!Afdruktitels</vt:lpstr>
      <vt:lpstr>Maart!Afdruktitels</vt:lpstr>
      <vt:lpstr>Mei!Afdruktitels</vt:lpstr>
      <vt:lpstr>November!Afdruktitels</vt:lpstr>
      <vt:lpstr>Oktober!Afdruktitels</vt:lpstr>
      <vt:lpstr>September!Afdruktitels</vt:lpstr>
      <vt:lpstr>CalendarYear</vt:lpstr>
      <vt:lpstr>ColumnTitle13</vt:lpstr>
      <vt:lpstr>Employee_Absence_Title</vt:lpstr>
      <vt:lpstr>Key_name</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Augustus!MonthName</vt:lpstr>
      <vt:lpstr>December!MonthName</vt:lpstr>
      <vt:lpstr>Februari!MonthName</vt:lpstr>
      <vt:lpstr>Januari!MonthName</vt:lpstr>
      <vt:lpstr>Juli!MonthName</vt:lpstr>
      <vt:lpstr>Juni!MonthName</vt:lpstr>
      <vt:lpstr>Maart!MonthName</vt:lpstr>
      <vt:lpstr>Mei!MonthName</vt:lpstr>
      <vt:lpstr>November!MonthName</vt:lpstr>
      <vt:lpstr>Oktober!MonthName</vt:lpstr>
      <vt:lpstr>September!MonthName</vt:lpstr>
      <vt:lpstr>Titel1</vt:lpstr>
      <vt:lpstr>Titel10</vt:lpstr>
      <vt:lpstr>Titel11</vt:lpstr>
      <vt:lpstr>Titel12</vt:lpstr>
      <vt:lpstr>Titel2</vt:lpstr>
      <vt:lpstr>Titel3</vt:lpstr>
      <vt:lpstr>Titel4</vt:lpstr>
      <vt:lpstr>Titel5</vt:lpstr>
      <vt:lpstr>Titel6</vt:lpstr>
      <vt:lpstr>Titel7</vt:lpstr>
      <vt:lpstr>Titel8</vt:lpstr>
      <vt:lpstr>Titel9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Dogplaza Twente</dc:creator>
  <cp:lastModifiedBy>Dogplaza Twente</cp:lastModifiedBy>
  <dcterms:created xsi:type="dcterms:W3CDTF">2016-12-06T04:52:27Z</dcterms:created>
  <dcterms:modified xsi:type="dcterms:W3CDTF">2020-02-24T17:47:47Z</dcterms:modified>
</cp:coreProperties>
</file>